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OA\Automated Forms_Checklists\FY26 File Updates\"/>
    </mc:Choice>
  </mc:AlternateContent>
  <xr:revisionPtr revIDLastSave="0" documentId="13_ncr:1_{676E0714-354B-4E0C-AAE8-9B2B95F63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x Rate Options - Shifts" sheetId="5" r:id="rId1"/>
    <sheet name="Levy Limit" sheetId="8" r:id="rId2"/>
    <sheet name="Recap Page 1" sheetId="1" r:id="rId3"/>
    <sheet name="Recap Page 2" sheetId="2" r:id="rId4"/>
    <sheet name="Recap Page 3" sheetId="3" r:id="rId5"/>
    <sheet name="Recap Page 4" sheetId="4" r:id="rId6"/>
    <sheet name="Sheet1" sheetId="6" state="hidden" r:id="rId7"/>
    <sheet name="Sheet2" sheetId="7" state="hidden" r:id="rId8"/>
  </sheets>
  <externalReferences>
    <externalReference r:id="rId9"/>
    <externalReference r:id="rId10"/>
    <externalReference r:id="rId11"/>
  </externalReferences>
  <definedNames>
    <definedName name="b1p2line4">'[1]B-1'!$I$42</definedName>
    <definedName name="chpt200db">'[1]CHAPTER 200'!$B$48:$E$400</definedName>
    <definedName name="comrate">'Tax Rate Options - Shifts'!$AI$78</definedName>
    <definedName name="comshift">'Tax Rate Options - Shifts'!$Z$80</definedName>
    <definedName name="cpfnum">'[1]A-4'!$K$24</definedName>
    <definedName name="Cur_FY">'Levy Limit'!$C$6</definedName>
    <definedName name="diff">'Recap Page 1'!$D$47</definedName>
    <definedName name="enter1">'[1]A-2(1ST)'!$J$25</definedName>
    <definedName name="enter2">'[1]A-2(2ND)'!$J$25</definedName>
    <definedName name="enter3">'[1]A-2(3RD)'!$J$25</definedName>
    <definedName name="enter4">'[1]A-2(4TH)'!$J$25</definedName>
    <definedName name="enter5">'[1]A-2(5TH)'!$J$25</definedName>
    <definedName name="enter6">'[1]A-2(6TH)'!$J$25</definedName>
    <definedName name="enter7">'[1]A-2(7TH)'!$J$25</definedName>
    <definedName name="ESTREC">'Recap Page 3'!$J$37</definedName>
    <definedName name="exemcinew">'Tax Rate Options - Shifts'!$Y$99</definedName>
    <definedName name="exemcom">'Tax Rate Options - Shifts'!$AC$5</definedName>
    <definedName name="exemcomel">'Tax Rate Options - Shifts'!$L$6</definedName>
    <definedName name="exemcompcls">'Tax Rate Options - Shifts'!$L$5</definedName>
    <definedName name="exemcompct">'Tax Rate Options - Shifts'!$L$7</definedName>
    <definedName name="exemresnew">'Tax Rate Options - Shifts'!$Y$96</definedName>
    <definedName name="exemrespct">'Tax Rate Options - Shifts'!$Y$97</definedName>
    <definedName name="FREECASHTOT">'Recap Page 4'!$F$33</definedName>
    <definedName name="indshift">'Tax Rate Options - Shifts'!$Z$81</definedName>
    <definedName name="la5com">'[1]LA5 FORM'!$L$52</definedName>
    <definedName name="la5ind">'[1]LA5 FORM'!$L$53</definedName>
    <definedName name="la5os">'[1]LA5 FORM'!$L$51</definedName>
    <definedName name="la5pp">'[1]LA5 FORM'!$L$54</definedName>
    <definedName name="la5res">'[1]LA5 FORM'!$L$50</definedName>
    <definedName name="levylimI">'Levy Limit'!$E$19</definedName>
    <definedName name="levylimII">'Levy Limit'!$E$31</definedName>
    <definedName name="levylimitdb">'Levy Limit'!$F$48:$N$401</definedName>
    <definedName name="maxlevy">'Levy Limit'!$C$45</definedName>
    <definedName name="mrf">[2]LA7!$D$32</definedName>
    <definedName name="name">[1]START!$C$56</definedName>
    <definedName name="newoverlay">'Recap Page 1'!$D$50</definedName>
    <definedName name="nglevytot">'[3]LA13 Bottom'!$H$28</definedName>
    <definedName name="nshiftcom">'Recap Page 1'!$Q$21</definedName>
    <definedName name="nshiftind">'Recap Page 1'!$Q$23</definedName>
    <definedName name="nshiftos">'Recap Page 1'!$Q$20</definedName>
    <definedName name="nshiftper">'Recap Page 1'!$Q$25</definedName>
    <definedName name="nshiftr">'Recap Page 1'!$Q$18</definedName>
    <definedName name="opshift">'Tax Rate Options - Shifts'!$Z$77</definedName>
    <definedName name="option150">'Tax Rate Options - Shifts'!$D$18</definedName>
    <definedName name="option175">'Tax Rate Options - Shifts'!$D$19</definedName>
    <definedName name="optioncippct">'Tax Rate Options - Shifts'!$D$9</definedName>
    <definedName name="optioncom">'Tax Rate Options - Shifts'!$B$7</definedName>
    <definedName name="optioncomex">'Tax Rate Options - Shifts'!$J$9</definedName>
    <definedName name="optioncompct">'Tax Rate Options - Shifts'!$C$7</definedName>
    <definedName name="optionhistlow">'Tax Rate Options - Shifts'!#REF!</definedName>
    <definedName name="optionind">'Tax Rate Options - Shifts'!$B$8</definedName>
    <definedName name="optionindpct">'Tax Rate Options - Shifts'!$C$8</definedName>
    <definedName name="optionlevy">'Tax Rate Options - Shifts'!$B$14</definedName>
    <definedName name="optionmrf">'Tax Rate Options - Shifts'!$B$18</definedName>
    <definedName name="optionos">'Tax Rate Options - Shifts'!$B$6</definedName>
    <definedName name="optionospct">'Tax Rate Options - Shifts'!$C$6</definedName>
    <definedName name="optionpp">'Tax Rate Options - Shifts'!$B$9</definedName>
    <definedName name="optionpppct">'Tax Rate Options - Shifts'!$C$9</definedName>
    <definedName name="optionres">'Tax Rate Options - Shifts'!$B$5</definedName>
    <definedName name="optionres200share">'Tax Rate Options - Shifts'!$C$19</definedName>
    <definedName name="optionresex">'Tax Rate Options - Shifts'!$F$9</definedName>
    <definedName name="optionresminshare">'Tax Rate Options - Shifts'!$C$18</definedName>
    <definedName name="optionrespct">'Tax Rate Options - Shifts'!$C$5</definedName>
    <definedName name="optionropct">'Tax Rate Options - Shifts'!$D$6</definedName>
    <definedName name="optionshift200">'Tax Rate Options - Shifts'!$B$19</definedName>
    <definedName name="optiontot">'Tax Rate Options - Shifts'!$B$10</definedName>
    <definedName name="optiontruelow">'Tax Rate Options - Shifts'!#REF!</definedName>
    <definedName name="osdisc">'Tax Rate Options - Shifts'!$AC$8</definedName>
    <definedName name="otherapp">'[1]A-4'!$K$41</definedName>
    <definedName name="OTHERAVAILTOT">'Recap Page 4'!$G$33</definedName>
    <definedName name="OVERLAY">'Recap Page 2'!$L$21</definedName>
    <definedName name="p1recap">'Recap Page 1'!$B$3:$G$27</definedName>
    <definedName name="p2recap">'Recap Page 2'!$A$1:$K$59</definedName>
    <definedName name="p3recap">'Recap Page 3'!$A$1:$K$44</definedName>
    <definedName name="p4recap">'Recap Page 4'!$A$1:$L$41</definedName>
    <definedName name="ppshift">'Tax Rate Options - Shifts'!$Z$82</definedName>
    <definedName name="priorres">'[1]CHAPTER 200'!$G$7</definedName>
    <definedName name="resexem">'Tax Rate Options - Shifts'!$H$7</definedName>
    <definedName name="resrate">'Tax Rate Options - Shifts'!$AI$76</definedName>
    <definedName name="resshift">'Tax Rate Options - Shifts'!$Z$76</definedName>
    <definedName name="rnoshift">'Tax Rate Options - Shifts'!$AC$76</definedName>
    <definedName name="shiftos">'Tax Rate Options - Shifts'!$Y$77</definedName>
    <definedName name="shiftper">'Tax Rate Options - Shifts'!$I$14</definedName>
    <definedName name="shiftRateCom">'Tax Rate Options - Shifts'!$AE$78</definedName>
    <definedName name="ShiftRateInd">'Tax Rate Options - Shifts'!$AE$79</definedName>
    <definedName name="ShiftRateOs">'Tax Rate Options - Shifts'!$AE$77</definedName>
    <definedName name="ShiftRatePP">'Tax Rate Options - Shifts'!$AE$80</definedName>
    <definedName name="ShiftRateRes">'Tax Rate Options - Shifts'!$AE$76</definedName>
    <definedName name="shifttable">'Tax Rate Options - Shifts'!$A$21:$S$98</definedName>
    <definedName name="table2">'Tax Rate Options - Shifts'!$B$5:$C$10</definedName>
    <definedName name="tableabc">'Tax Rate Options - Shifts'!$A$23:$S$173</definedName>
    <definedName name="taxrateoptions">'Tax Rate Options - Shifts'!$A$1:$O$16</definedName>
    <definedName name="taxtitletotal">'[1]TAX TITLE FORM'!$G$32</definedName>
    <definedName name="TLEVY">'Recap Page 1'!$G$14</definedName>
    <definedName name="totamtraise">'Recap Page 2'!$L$22</definedName>
    <definedName name="TOTAPPROP">'Recap Page 4'!$D$33</definedName>
    <definedName name="TOTDE">'[3]DE-1'!$J$226</definedName>
    <definedName name="totestrcpt">'Recap Page 2'!$L$52</definedName>
    <definedName name="TOTESTREC">'[1]A-1'!$I$25</definedName>
    <definedName name="TOTINC">'[3]LA-13A'!$E$19</definedName>
    <definedName name="TOTLEVY">'Recap Page 1'!$G$27</definedName>
    <definedName name="totvalexem">'Tax Rate Options - Shifts'!$X$108</definedName>
    <definedName name="valcom">'Tax Rate Options - Shifts'!$Y$92</definedName>
    <definedName name="valind">'Tax Rate Options - Shifts'!$Y$93</definedName>
    <definedName name="valos">'Tax Rate Options - Shifts'!$Y$91</definedName>
    <definedName name="valpp">'Tax Rate Options - Shifts'!$Y$94</definedName>
    <definedName name="valres">'Tax Rate Options - Shifts'!$Y$90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6" i="1"/>
  <c r="E20" i="8"/>
  <c r="C14" i="8"/>
  <c r="B45" i="8" l="1"/>
  <c r="B43" i="8"/>
  <c r="B42" i="8"/>
  <c r="B41" i="8"/>
  <c r="B40" i="8"/>
  <c r="B39" i="8"/>
  <c r="B38" i="8"/>
  <c r="B36" i="8"/>
  <c r="E32" i="8"/>
  <c r="B32" i="8"/>
  <c r="B30" i="8"/>
  <c r="B29" i="8"/>
  <c r="B28" i="8"/>
  <c r="B27" i="8"/>
  <c r="B25" i="8"/>
  <c r="B24" i="8"/>
  <c r="B23" i="8"/>
  <c r="B20" i="8" l="1"/>
  <c r="B18" i="8"/>
  <c r="B17" i="8"/>
  <c r="B13" i="8"/>
  <c r="B16" i="8"/>
  <c r="B15" i="8"/>
  <c r="B12" i="8"/>
  <c r="B10" i="8"/>
  <c r="C18" i="8" l="1"/>
  <c r="M401" i="8"/>
  <c r="M400" i="8"/>
  <c r="M399" i="8"/>
  <c r="M398" i="8"/>
  <c r="M397" i="8"/>
  <c r="M396" i="8"/>
  <c r="M395" i="8"/>
  <c r="M394" i="8"/>
  <c r="M393" i="8"/>
  <c r="M392" i="8"/>
  <c r="M391" i="8"/>
  <c r="M390" i="8"/>
  <c r="M389" i="8"/>
  <c r="M388" i="8"/>
  <c r="M387" i="8"/>
  <c r="M386" i="8"/>
  <c r="M385" i="8"/>
  <c r="M384" i="8"/>
  <c r="M383" i="8"/>
  <c r="M382" i="8"/>
  <c r="M381" i="8"/>
  <c r="M380" i="8"/>
  <c r="M379" i="8"/>
  <c r="M378" i="8"/>
  <c r="M377" i="8"/>
  <c r="M376" i="8"/>
  <c r="M375" i="8"/>
  <c r="M374" i="8"/>
  <c r="M373" i="8"/>
  <c r="M372" i="8"/>
  <c r="M371" i="8"/>
  <c r="M370" i="8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M328" i="8"/>
  <c r="M327" i="8"/>
  <c r="M326" i="8"/>
  <c r="M325" i="8"/>
  <c r="M324" i="8"/>
  <c r="M323" i="8"/>
  <c r="M322" i="8"/>
  <c r="M321" i="8"/>
  <c r="M320" i="8"/>
  <c r="M319" i="8"/>
  <c r="M318" i="8"/>
  <c r="M317" i="8"/>
  <c r="M316" i="8"/>
  <c r="M315" i="8"/>
  <c r="M314" i="8"/>
  <c r="M313" i="8"/>
  <c r="M312" i="8"/>
  <c r="M311" i="8"/>
  <c r="M310" i="8"/>
  <c r="M309" i="8"/>
  <c r="M308" i="8"/>
  <c r="M307" i="8"/>
  <c r="M306" i="8"/>
  <c r="M305" i="8"/>
  <c r="M304" i="8"/>
  <c r="M303" i="8"/>
  <c r="M302" i="8"/>
  <c r="M301" i="8"/>
  <c r="M300" i="8"/>
  <c r="M299" i="8"/>
  <c r="M298" i="8"/>
  <c r="M297" i="8"/>
  <c r="M296" i="8"/>
  <c r="M295" i="8"/>
  <c r="M294" i="8"/>
  <c r="M293" i="8"/>
  <c r="M292" i="8"/>
  <c r="M291" i="8"/>
  <c r="M290" i="8"/>
  <c r="M289" i="8"/>
  <c r="M288" i="8"/>
  <c r="M287" i="8"/>
  <c r="M286" i="8"/>
  <c r="M285" i="8"/>
  <c r="M284" i="8"/>
  <c r="M283" i="8"/>
  <c r="M282" i="8"/>
  <c r="M281" i="8"/>
  <c r="M280" i="8"/>
  <c r="M279" i="8"/>
  <c r="M278" i="8"/>
  <c r="M277" i="8"/>
  <c r="M276" i="8"/>
  <c r="M275" i="8"/>
  <c r="M274" i="8"/>
  <c r="M273" i="8"/>
  <c r="M272" i="8"/>
  <c r="M271" i="8"/>
  <c r="M270" i="8"/>
  <c r="M269" i="8"/>
  <c r="M268" i="8"/>
  <c r="M267" i="8"/>
  <c r="M266" i="8"/>
  <c r="M265" i="8"/>
  <c r="M264" i="8"/>
  <c r="M263" i="8"/>
  <c r="M262" i="8"/>
  <c r="M261" i="8"/>
  <c r="M260" i="8"/>
  <c r="M259" i="8"/>
  <c r="M258" i="8"/>
  <c r="M257" i="8"/>
  <c r="M256" i="8"/>
  <c r="M255" i="8"/>
  <c r="M254" i="8"/>
  <c r="M253" i="8"/>
  <c r="M252" i="8"/>
  <c r="M251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E19" i="8" l="1"/>
  <c r="C24" i="8" s="1"/>
  <c r="C26" i="8" l="1"/>
  <c r="C30" i="8" s="1"/>
  <c r="B10" i="5" l="1"/>
  <c r="C32" i="8" s="1"/>
  <c r="E31" i="8" s="1"/>
  <c r="C38" i="8" s="1"/>
  <c r="C45" i="8" s="1"/>
  <c r="B13" i="5" s="1"/>
  <c r="J9" i="5" l="1"/>
  <c r="K26" i="7" l="1"/>
  <c r="F9" i="5" l="1"/>
  <c r="AC5" i="5" l="1"/>
  <c r="Y102" i="5"/>
  <c r="W105" i="5" l="1"/>
  <c r="W104" i="5"/>
  <c r="Y101" i="5"/>
  <c r="W106" i="5" l="1"/>
  <c r="X108" i="5" s="1"/>
  <c r="Y100" i="5" l="1"/>
  <c r="Y98" i="5" l="1"/>
  <c r="Y97" i="5" l="1"/>
  <c r="Y94" i="5" l="1"/>
  <c r="Y93" i="5"/>
  <c r="Y92" i="5"/>
  <c r="Y91" i="5"/>
  <c r="Y90" i="5"/>
  <c r="E24" i="1" l="1"/>
  <c r="L21" i="1"/>
  <c r="E26" i="1"/>
  <c r="E22" i="1"/>
  <c r="E21" i="1"/>
  <c r="E19" i="1"/>
  <c r="L49" i="2"/>
  <c r="L29" i="2"/>
  <c r="L18" i="2"/>
  <c r="J37" i="3" l="1"/>
  <c r="H37" i="3"/>
  <c r="K32" i="2" l="1"/>
  <c r="L36" i="2" s="1"/>
  <c r="C8" i="5"/>
  <c r="Y99" i="5"/>
  <c r="Y96" i="5"/>
  <c r="J33" i="4"/>
  <c r="I33" i="4"/>
  <c r="H33" i="4"/>
  <c r="G33" i="4"/>
  <c r="K41" i="2" s="1"/>
  <c r="F33" i="4"/>
  <c r="K40" i="2" s="1"/>
  <c r="E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F24" i="5" l="1"/>
  <c r="F30" i="5"/>
  <c r="F38" i="5"/>
  <c r="F39" i="5"/>
  <c r="F40" i="5"/>
  <c r="F45" i="5"/>
  <c r="F47" i="5"/>
  <c r="F48" i="5"/>
  <c r="F26" i="5"/>
  <c r="F27" i="5"/>
  <c r="F28" i="5"/>
  <c r="F33" i="5"/>
  <c r="F41" i="5"/>
  <c r="F46" i="5"/>
  <c r="F53" i="5"/>
  <c r="F55" i="5"/>
  <c r="F25" i="5"/>
  <c r="F29" i="5"/>
  <c r="F31" i="5"/>
  <c r="F34" i="5"/>
  <c r="F52" i="5"/>
  <c r="F56" i="5"/>
  <c r="F64" i="5"/>
  <c r="F66" i="5"/>
  <c r="F72" i="5"/>
  <c r="F75" i="5"/>
  <c r="F36" i="5"/>
  <c r="F43" i="5"/>
  <c r="F49" i="5"/>
  <c r="F50" i="5"/>
  <c r="F68" i="5"/>
  <c r="F71" i="5"/>
  <c r="F73" i="5"/>
  <c r="F54" i="5"/>
  <c r="F61" i="5"/>
  <c r="F63" i="5"/>
  <c r="F67" i="5"/>
  <c r="F79" i="5"/>
  <c r="F80" i="5"/>
  <c r="F81" i="5"/>
  <c r="F86" i="5"/>
  <c r="F96" i="5"/>
  <c r="F99" i="5"/>
  <c r="F101" i="5"/>
  <c r="F105" i="5"/>
  <c r="F110" i="5"/>
  <c r="F111" i="5"/>
  <c r="F112" i="5"/>
  <c r="F115" i="5"/>
  <c r="F116" i="5"/>
  <c r="F119" i="5"/>
  <c r="F120" i="5"/>
  <c r="F126" i="5"/>
  <c r="F128" i="5"/>
  <c r="F129" i="5"/>
  <c r="F130" i="5"/>
  <c r="F32" i="5"/>
  <c r="F35" i="5"/>
  <c r="F74" i="5"/>
  <c r="F82" i="5"/>
  <c r="F87" i="5"/>
  <c r="F90" i="5"/>
  <c r="F92" i="5"/>
  <c r="F93" i="5"/>
  <c r="F97" i="5"/>
  <c r="F102" i="5"/>
  <c r="F113" i="5"/>
  <c r="F117" i="5"/>
  <c r="F132" i="5"/>
  <c r="F133" i="5"/>
  <c r="F135" i="5"/>
  <c r="F138" i="5"/>
  <c r="F139" i="5"/>
  <c r="F141" i="5"/>
  <c r="F42" i="5"/>
  <c r="F70" i="5"/>
  <c r="F98" i="5"/>
  <c r="F104" i="5"/>
  <c r="F109" i="5"/>
  <c r="F114" i="5"/>
  <c r="F123" i="5"/>
  <c r="F131" i="5"/>
  <c r="F142" i="5"/>
  <c r="F148" i="5"/>
  <c r="F149" i="5"/>
  <c r="F154" i="5"/>
  <c r="F156" i="5"/>
  <c r="F166" i="5"/>
  <c r="F169" i="5"/>
  <c r="F59" i="5"/>
  <c r="F65" i="5"/>
  <c r="F69" i="5"/>
  <c r="F37" i="5"/>
  <c r="F57" i="5"/>
  <c r="F77" i="5"/>
  <c r="F78" i="5"/>
  <c r="F83" i="5"/>
  <c r="F84" i="5"/>
  <c r="F88" i="5"/>
  <c r="F95" i="5"/>
  <c r="F100" i="5"/>
  <c r="F106" i="5"/>
  <c r="F122" i="5"/>
  <c r="F124" i="5"/>
  <c r="F134" i="5"/>
  <c r="F145" i="5"/>
  <c r="F146" i="5"/>
  <c r="F150" i="5"/>
  <c r="F153" i="5"/>
  <c r="F157" i="5"/>
  <c r="F159" i="5"/>
  <c r="F160" i="5"/>
  <c r="F163" i="5"/>
  <c r="F167" i="5"/>
  <c r="F173" i="5"/>
  <c r="F44" i="5"/>
  <c r="F60" i="5"/>
  <c r="F76" i="5"/>
  <c r="F91" i="5"/>
  <c r="F89" i="5"/>
  <c r="F107" i="5"/>
  <c r="F118" i="5"/>
  <c r="F125" i="5"/>
  <c r="F143" i="5"/>
  <c r="F144" i="5"/>
  <c r="F147" i="5"/>
  <c r="F155" i="5"/>
  <c r="F161" i="5"/>
  <c r="F162" i="5"/>
  <c r="F172" i="5"/>
  <c r="F58" i="5"/>
  <c r="F85" i="5"/>
  <c r="F94" i="5"/>
  <c r="F103" i="5"/>
  <c r="F140" i="5"/>
  <c r="F151" i="5"/>
  <c r="F168" i="5"/>
  <c r="F51" i="5"/>
  <c r="F62" i="5"/>
  <c r="F108" i="5"/>
  <c r="F137" i="5"/>
  <c r="F127" i="5"/>
  <c r="F171" i="5"/>
  <c r="F121" i="5"/>
  <c r="F164" i="5"/>
  <c r="F165" i="5"/>
  <c r="F136" i="5"/>
  <c r="F158" i="5"/>
  <c r="F170" i="5"/>
  <c r="F152" i="5"/>
  <c r="E23" i="1"/>
  <c r="W115" i="5"/>
  <c r="V115" i="5" s="1"/>
  <c r="AB81" i="5"/>
  <c r="E20" i="1"/>
  <c r="L20" i="1"/>
  <c r="L42" i="2"/>
  <c r="L52" i="2" s="1"/>
  <c r="K57" i="2" s="1"/>
  <c r="C7" i="5"/>
  <c r="C9" i="5"/>
  <c r="C6" i="5"/>
  <c r="AB77" i="5" s="1"/>
  <c r="C5" i="5"/>
  <c r="F23" i="5"/>
  <c r="D33" i="4"/>
  <c r="L4" i="2" s="1"/>
  <c r="L22" i="2" s="1"/>
  <c r="E25" i="1"/>
  <c r="G29" i="5" l="1"/>
  <c r="G31" i="5"/>
  <c r="G32" i="5"/>
  <c r="G37" i="5"/>
  <c r="G50" i="5"/>
  <c r="G24" i="5"/>
  <c r="G30" i="5"/>
  <c r="G38" i="5"/>
  <c r="G39" i="5"/>
  <c r="G40" i="5"/>
  <c r="G45" i="5"/>
  <c r="G47" i="5"/>
  <c r="G48" i="5"/>
  <c r="G54" i="5"/>
  <c r="G35" i="5"/>
  <c r="G44" i="5"/>
  <c r="G51" i="5"/>
  <c r="G57" i="5"/>
  <c r="G60" i="5"/>
  <c r="G61" i="5"/>
  <c r="G63" i="5"/>
  <c r="G65" i="5"/>
  <c r="G67" i="5"/>
  <c r="G69" i="5"/>
  <c r="G74" i="5"/>
  <c r="G78" i="5"/>
  <c r="G79" i="5"/>
  <c r="G25" i="5"/>
  <c r="G27" i="5"/>
  <c r="G33" i="5"/>
  <c r="G34" i="5"/>
  <c r="G52" i="5"/>
  <c r="G53" i="5"/>
  <c r="G55" i="5"/>
  <c r="G56" i="5"/>
  <c r="G64" i="5"/>
  <c r="G66" i="5"/>
  <c r="G72" i="5"/>
  <c r="G75" i="5"/>
  <c r="G26" i="5"/>
  <c r="G36" i="5"/>
  <c r="G62" i="5"/>
  <c r="G73" i="5"/>
  <c r="G85" i="5"/>
  <c r="G89" i="5"/>
  <c r="G95" i="5"/>
  <c r="G98" i="5"/>
  <c r="G100" i="5"/>
  <c r="G104" i="5"/>
  <c r="G109" i="5"/>
  <c r="G114" i="5"/>
  <c r="G124" i="5"/>
  <c r="G127" i="5"/>
  <c r="G134" i="5"/>
  <c r="G46" i="5"/>
  <c r="G80" i="5"/>
  <c r="G81" i="5"/>
  <c r="G86" i="5"/>
  <c r="G96" i="5"/>
  <c r="G99" i="5"/>
  <c r="G101" i="5"/>
  <c r="G105" i="5"/>
  <c r="G110" i="5"/>
  <c r="G111" i="5"/>
  <c r="G112" i="5"/>
  <c r="G115" i="5"/>
  <c r="G116" i="5"/>
  <c r="G119" i="5"/>
  <c r="G120" i="5"/>
  <c r="G126" i="5"/>
  <c r="G128" i="5"/>
  <c r="G129" i="5"/>
  <c r="G130" i="5"/>
  <c r="G49" i="5"/>
  <c r="G58" i="5"/>
  <c r="G82" i="5"/>
  <c r="G94" i="5"/>
  <c r="G103" i="5"/>
  <c r="G125" i="5"/>
  <c r="G133" i="5"/>
  <c r="G139" i="5"/>
  <c r="G140" i="5"/>
  <c r="G141" i="5"/>
  <c r="G143" i="5"/>
  <c r="G144" i="5"/>
  <c r="G147" i="5"/>
  <c r="G152" i="5"/>
  <c r="G155" i="5"/>
  <c r="G161" i="5"/>
  <c r="G162" i="5"/>
  <c r="G170" i="5"/>
  <c r="G172" i="5"/>
  <c r="G84" i="5"/>
  <c r="G92" i="5"/>
  <c r="G42" i="5"/>
  <c r="G70" i="5"/>
  <c r="G87" i="5"/>
  <c r="G90" i="5"/>
  <c r="G123" i="5"/>
  <c r="G131" i="5"/>
  <c r="G142" i="5"/>
  <c r="G148" i="5"/>
  <c r="G149" i="5"/>
  <c r="G154" i="5"/>
  <c r="G156" i="5"/>
  <c r="G166" i="5"/>
  <c r="G169" i="5"/>
  <c r="G41" i="5"/>
  <c r="G77" i="5"/>
  <c r="G83" i="5"/>
  <c r="G88" i="5"/>
  <c r="G28" i="5"/>
  <c r="G43" i="5"/>
  <c r="G68" i="5"/>
  <c r="G71" i="5"/>
  <c r="G91" i="5"/>
  <c r="G93" i="5"/>
  <c r="G108" i="5"/>
  <c r="G153" i="5"/>
  <c r="G158" i="5"/>
  <c r="G164" i="5"/>
  <c r="G171" i="5"/>
  <c r="G76" i="5"/>
  <c r="G97" i="5"/>
  <c r="G102" i="5"/>
  <c r="G106" i="5"/>
  <c r="G121" i="5"/>
  <c r="G135" i="5"/>
  <c r="G136" i="5"/>
  <c r="G137" i="5"/>
  <c r="G138" i="5"/>
  <c r="G145" i="5"/>
  <c r="G157" i="5"/>
  <c r="G159" i="5"/>
  <c r="G163" i="5"/>
  <c r="G165" i="5"/>
  <c r="G59" i="5"/>
  <c r="G107" i="5"/>
  <c r="G113" i="5"/>
  <c r="G146" i="5"/>
  <c r="G151" i="5"/>
  <c r="G167" i="5"/>
  <c r="G173" i="5"/>
  <c r="G118" i="5"/>
  <c r="G168" i="5"/>
  <c r="G117" i="5"/>
  <c r="G150" i="5"/>
  <c r="G160" i="5"/>
  <c r="G132" i="5"/>
  <c r="G122" i="5"/>
  <c r="E26" i="5"/>
  <c r="E27" i="5"/>
  <c r="E28" i="5"/>
  <c r="E33" i="5"/>
  <c r="E41" i="5"/>
  <c r="E46" i="5"/>
  <c r="E25" i="5"/>
  <c r="E34" i="5"/>
  <c r="E35" i="5"/>
  <c r="E36" i="5"/>
  <c r="E42" i="5"/>
  <c r="E43" i="5"/>
  <c r="E44" i="5"/>
  <c r="E49" i="5"/>
  <c r="E56" i="5"/>
  <c r="E38" i="5"/>
  <c r="E45" i="5"/>
  <c r="E47" i="5"/>
  <c r="E50" i="5"/>
  <c r="E53" i="5"/>
  <c r="E55" i="5"/>
  <c r="E68" i="5"/>
  <c r="E71" i="5"/>
  <c r="E73" i="5"/>
  <c r="E24" i="5"/>
  <c r="E37" i="5"/>
  <c r="E40" i="5"/>
  <c r="E54" i="5"/>
  <c r="E58" i="5"/>
  <c r="E59" i="5"/>
  <c r="E62" i="5"/>
  <c r="E70" i="5"/>
  <c r="E76" i="5"/>
  <c r="E77" i="5"/>
  <c r="E80" i="5"/>
  <c r="E32" i="5"/>
  <c r="E64" i="5"/>
  <c r="E74" i="5"/>
  <c r="E82" i="5"/>
  <c r="E87" i="5"/>
  <c r="E90" i="5"/>
  <c r="E92" i="5"/>
  <c r="E93" i="5"/>
  <c r="E97" i="5"/>
  <c r="E102" i="5"/>
  <c r="E113" i="5"/>
  <c r="E117" i="5"/>
  <c r="E132" i="5"/>
  <c r="E133" i="5"/>
  <c r="E135" i="5"/>
  <c r="E30" i="5"/>
  <c r="E31" i="5"/>
  <c r="E57" i="5"/>
  <c r="E65" i="5"/>
  <c r="E75" i="5"/>
  <c r="E83" i="5"/>
  <c r="E84" i="5"/>
  <c r="E88" i="5"/>
  <c r="E91" i="5"/>
  <c r="E94" i="5"/>
  <c r="E103" i="5"/>
  <c r="E106" i="5"/>
  <c r="E107" i="5"/>
  <c r="E108" i="5"/>
  <c r="E118" i="5"/>
  <c r="E121" i="5"/>
  <c r="E122" i="5"/>
  <c r="E123" i="5"/>
  <c r="E125" i="5"/>
  <c r="E131" i="5"/>
  <c r="E137" i="5"/>
  <c r="E140" i="5"/>
  <c r="E61" i="5"/>
  <c r="E67" i="5"/>
  <c r="E78" i="5"/>
  <c r="E86" i="5"/>
  <c r="E95" i="5"/>
  <c r="E99" i="5"/>
  <c r="E100" i="5"/>
  <c r="E105" i="5"/>
  <c r="E115" i="5"/>
  <c r="E119" i="5"/>
  <c r="E120" i="5"/>
  <c r="E124" i="5"/>
  <c r="E126" i="5"/>
  <c r="E134" i="5"/>
  <c r="E145" i="5"/>
  <c r="E146" i="5"/>
  <c r="E150" i="5"/>
  <c r="E153" i="5"/>
  <c r="E157" i="5"/>
  <c r="E159" i="5"/>
  <c r="E160" i="5"/>
  <c r="E163" i="5"/>
  <c r="E167" i="5"/>
  <c r="E173" i="5"/>
  <c r="E52" i="5"/>
  <c r="E66" i="5"/>
  <c r="E89" i="5"/>
  <c r="E96" i="5"/>
  <c r="E29" i="5"/>
  <c r="E60" i="5"/>
  <c r="E63" i="5"/>
  <c r="E69" i="5"/>
  <c r="E101" i="5"/>
  <c r="E110" i="5"/>
  <c r="E111" i="5"/>
  <c r="E116" i="5"/>
  <c r="E127" i="5"/>
  <c r="E129" i="5"/>
  <c r="E136" i="5"/>
  <c r="E151" i="5"/>
  <c r="E158" i="5"/>
  <c r="E164" i="5"/>
  <c r="E165" i="5"/>
  <c r="E168" i="5"/>
  <c r="E171" i="5"/>
  <c r="E48" i="5"/>
  <c r="E51" i="5"/>
  <c r="E72" i="5"/>
  <c r="E81" i="5"/>
  <c r="E85" i="5"/>
  <c r="E104" i="5"/>
  <c r="E128" i="5"/>
  <c r="E130" i="5"/>
  <c r="E148" i="5"/>
  <c r="E156" i="5"/>
  <c r="E170" i="5"/>
  <c r="E79" i="5"/>
  <c r="E39" i="5"/>
  <c r="E139" i="5"/>
  <c r="E141" i="5"/>
  <c r="E142" i="5"/>
  <c r="E152" i="5"/>
  <c r="E98" i="5"/>
  <c r="E109" i="5"/>
  <c r="E112" i="5"/>
  <c r="E154" i="5"/>
  <c r="E155" i="5"/>
  <c r="E166" i="5"/>
  <c r="E172" i="5"/>
  <c r="E147" i="5"/>
  <c r="E169" i="5"/>
  <c r="E144" i="5"/>
  <c r="E149" i="5"/>
  <c r="E114" i="5"/>
  <c r="E143" i="5"/>
  <c r="E162" i="5"/>
  <c r="E138" i="5"/>
  <c r="E161" i="5"/>
  <c r="AC9" i="5"/>
  <c r="AB76" i="5"/>
  <c r="AA81" i="5"/>
  <c r="AC81" i="5" s="1"/>
  <c r="C10" i="5"/>
  <c r="AB82" i="5"/>
  <c r="AB80" i="5"/>
  <c r="Y81" i="5"/>
  <c r="Z81" i="5" s="1"/>
  <c r="W113" i="5"/>
  <c r="V113" i="5" s="1"/>
  <c r="W116" i="5"/>
  <c r="V116" i="5" s="1"/>
  <c r="W114" i="5"/>
  <c r="V114" i="5" s="1"/>
  <c r="E23" i="5"/>
  <c r="G23" i="5"/>
  <c r="D9" i="5"/>
  <c r="G13" i="1"/>
  <c r="AA82" i="5" l="1"/>
  <c r="AC82" i="5" s="1"/>
  <c r="AA80" i="5"/>
  <c r="AC80" i="5" s="1"/>
  <c r="Y115" i="5"/>
  <c r="AA115" i="5" s="1"/>
  <c r="Y82" i="5"/>
  <c r="Z82" i="5" s="1"/>
  <c r="Y80" i="5"/>
  <c r="Z80" i="5" s="1"/>
  <c r="L56" i="2"/>
  <c r="G12" i="1"/>
  <c r="G14" i="1" s="1"/>
  <c r="B14" i="5" s="1"/>
  <c r="A12" i="5" s="1"/>
  <c r="K150" i="5" l="1"/>
  <c r="M80" i="5"/>
  <c r="S80" i="5" s="1"/>
  <c r="K77" i="5"/>
  <c r="M132" i="5"/>
  <c r="S132" i="5" s="1"/>
  <c r="M117" i="5"/>
  <c r="S117" i="5" s="1"/>
  <c r="M149" i="5"/>
  <c r="S149" i="5" s="1"/>
  <c r="M143" i="5"/>
  <c r="S143" i="5" s="1"/>
  <c r="M63" i="5"/>
  <c r="S63" i="5" s="1"/>
  <c r="K117" i="5"/>
  <c r="K97" i="5"/>
  <c r="K45" i="5"/>
  <c r="M158" i="5"/>
  <c r="S158" i="5" s="1"/>
  <c r="M81" i="5"/>
  <c r="S81" i="5" s="1"/>
  <c r="M57" i="5"/>
  <c r="S57" i="5" s="1"/>
  <c r="K128" i="5"/>
  <c r="K65" i="5"/>
  <c r="M61" i="5"/>
  <c r="S61" i="5" s="1"/>
  <c r="M160" i="5"/>
  <c r="S160" i="5" s="1"/>
  <c r="M144" i="5"/>
  <c r="S144" i="5" s="1"/>
  <c r="M115" i="5"/>
  <c r="S115" i="5" s="1"/>
  <c r="M67" i="5"/>
  <c r="S67" i="5" s="1"/>
  <c r="K169" i="5"/>
  <c r="K60" i="5"/>
  <c r="K84" i="5"/>
  <c r="M69" i="5"/>
  <c r="S69" i="5" s="1"/>
  <c r="M155" i="5"/>
  <c r="S155" i="5" s="1"/>
  <c r="M74" i="5"/>
  <c r="S74" i="5" s="1"/>
  <c r="K107" i="5"/>
  <c r="M124" i="5"/>
  <c r="S124" i="5" s="1"/>
  <c r="M91" i="5"/>
  <c r="S91" i="5" s="1"/>
  <c r="K59" i="5"/>
  <c r="M127" i="5"/>
  <c r="S127" i="5" s="1"/>
  <c r="M157" i="5"/>
  <c r="S157" i="5" s="1"/>
  <c r="M31" i="5"/>
  <c r="S31" i="5" s="1"/>
  <c r="M137" i="5"/>
  <c r="S137" i="5" s="1"/>
  <c r="K116" i="5"/>
  <c r="M152" i="5"/>
  <c r="S152" i="5" s="1"/>
  <c r="K138" i="5"/>
  <c r="K156" i="5"/>
  <c r="K27" i="5"/>
  <c r="M161" i="5"/>
  <c r="S161" i="5" s="1"/>
  <c r="M140" i="5"/>
  <c r="S140" i="5" s="1"/>
  <c r="K94" i="5"/>
  <c r="M75" i="5"/>
  <c r="S75" i="5" s="1"/>
  <c r="K57" i="5"/>
  <c r="K48" i="5"/>
  <c r="L121" i="5"/>
  <c r="L160" i="5"/>
  <c r="L114" i="5"/>
  <c r="L112" i="5"/>
  <c r="L55" i="5"/>
  <c r="L155" i="5"/>
  <c r="L77" i="5"/>
  <c r="L74" i="5"/>
  <c r="L36" i="5"/>
  <c r="L165" i="5"/>
  <c r="L172" i="5"/>
  <c r="L167" i="5"/>
  <c r="L84" i="5"/>
  <c r="L131" i="5"/>
  <c r="L102" i="5"/>
  <c r="L116" i="5"/>
  <c r="L54" i="5"/>
  <c r="L29" i="5"/>
  <c r="L30" i="5"/>
  <c r="L143" i="5"/>
  <c r="L69" i="5"/>
  <c r="L82" i="5"/>
  <c r="L43" i="5"/>
  <c r="L136" i="5"/>
  <c r="L173" i="5"/>
  <c r="L142" i="5"/>
  <c r="L129" i="5"/>
  <c r="L64" i="5"/>
  <c r="L170" i="5"/>
  <c r="L94" i="5"/>
  <c r="L60" i="5"/>
  <c r="L100" i="5"/>
  <c r="L151" i="5"/>
  <c r="L124" i="5"/>
  <c r="L138" i="5"/>
  <c r="L81" i="5"/>
  <c r="L39" i="5"/>
  <c r="L91" i="5"/>
  <c r="L156" i="5"/>
  <c r="L119" i="5"/>
  <c r="L31" i="5"/>
  <c r="L127" i="5"/>
  <c r="L147" i="5"/>
  <c r="L157" i="5"/>
  <c r="L57" i="5"/>
  <c r="L104" i="5"/>
  <c r="L90" i="5"/>
  <c r="L110" i="5"/>
  <c r="L50" i="5"/>
  <c r="L46" i="5"/>
  <c r="L158" i="5"/>
  <c r="L44" i="5"/>
  <c r="L148" i="5"/>
  <c r="L120" i="5"/>
  <c r="L34" i="5"/>
  <c r="L62" i="5"/>
  <c r="L146" i="5"/>
  <c r="L109" i="5"/>
  <c r="L111" i="5"/>
  <c r="L53" i="5"/>
  <c r="L164" i="5"/>
  <c r="L162" i="5"/>
  <c r="L163" i="5"/>
  <c r="L83" i="5"/>
  <c r="L123" i="5"/>
  <c r="L97" i="5"/>
  <c r="L115" i="5"/>
  <c r="L73" i="5"/>
  <c r="L25" i="5"/>
  <c r="L24" i="5"/>
  <c r="L161" i="5"/>
  <c r="L93" i="5"/>
  <c r="L171" i="5"/>
  <c r="L42" i="5"/>
  <c r="L47" i="5"/>
  <c r="L118" i="5"/>
  <c r="L59" i="5"/>
  <c r="L35" i="5"/>
  <c r="L75" i="5"/>
  <c r="L108" i="5"/>
  <c r="L70" i="5"/>
  <c r="L33" i="5"/>
  <c r="L88" i="5"/>
  <c r="L80" i="5"/>
  <c r="L137" i="5"/>
  <c r="L153" i="5"/>
  <c r="L149" i="5"/>
  <c r="L87" i="5"/>
  <c r="L86" i="5"/>
  <c r="L52" i="5"/>
  <c r="L89" i="5"/>
  <c r="L130" i="5"/>
  <c r="L140" i="5"/>
  <c r="L113" i="5"/>
  <c r="L152" i="5"/>
  <c r="L76" i="5"/>
  <c r="L154" i="5"/>
  <c r="L128" i="5"/>
  <c r="L56" i="5"/>
  <c r="L85" i="5"/>
  <c r="L117" i="5"/>
  <c r="L48" i="5"/>
  <c r="L65" i="5"/>
  <c r="L68" i="5"/>
  <c r="L168" i="5"/>
  <c r="L134" i="5"/>
  <c r="L98" i="5"/>
  <c r="L32" i="5"/>
  <c r="L67" i="5"/>
  <c r="L41" i="5"/>
  <c r="L78" i="5"/>
  <c r="L71" i="5"/>
  <c r="L159" i="5"/>
  <c r="L99" i="5"/>
  <c r="L51" i="5"/>
  <c r="L145" i="5"/>
  <c r="L141" i="5"/>
  <c r="L96" i="5"/>
  <c r="L27" i="5"/>
  <c r="L150" i="5"/>
  <c r="L101" i="5"/>
  <c r="L58" i="5"/>
  <c r="L135" i="5"/>
  <c r="L28" i="5"/>
  <c r="L144" i="5"/>
  <c r="L37" i="5"/>
  <c r="L139" i="5"/>
  <c r="L126" i="5"/>
  <c r="L49" i="5"/>
  <c r="L26" i="5"/>
  <c r="L166" i="5"/>
  <c r="L103" i="5"/>
  <c r="L45" i="5"/>
  <c r="Q45" i="5" s="1"/>
  <c r="L92" i="5"/>
  <c r="L132" i="5"/>
  <c r="L133" i="5"/>
  <c r="L107" i="5"/>
  <c r="L61" i="5"/>
  <c r="L79" i="5"/>
  <c r="L125" i="5"/>
  <c r="L169" i="5"/>
  <c r="L40" i="5"/>
  <c r="L66" i="5"/>
  <c r="L106" i="5"/>
  <c r="L95" i="5"/>
  <c r="L38" i="5"/>
  <c r="L105" i="5"/>
  <c r="L122" i="5"/>
  <c r="L63" i="5"/>
  <c r="L72" i="5"/>
  <c r="K149" i="5"/>
  <c r="K158" i="5"/>
  <c r="K115" i="5"/>
  <c r="K133" i="5"/>
  <c r="K55" i="5"/>
  <c r="M173" i="5"/>
  <c r="S173" i="5" s="1"/>
  <c r="K155" i="5"/>
  <c r="K104" i="5"/>
  <c r="K114" i="5"/>
  <c r="K39" i="5"/>
  <c r="K164" i="5"/>
  <c r="K66" i="5"/>
  <c r="K119" i="5"/>
  <c r="K121" i="5"/>
  <c r="K135" i="5"/>
  <c r="K172" i="5"/>
  <c r="K127" i="5"/>
  <c r="K95" i="5"/>
  <c r="K90" i="5"/>
  <c r="K35" i="5"/>
  <c r="K165" i="5"/>
  <c r="M71" i="5"/>
  <c r="S71" i="5" s="1"/>
  <c r="M123" i="5"/>
  <c r="S123" i="5" s="1"/>
  <c r="M141" i="5"/>
  <c r="S141" i="5" s="1"/>
  <c r="M116" i="5"/>
  <c r="S116" i="5" s="1"/>
  <c r="M114" i="5"/>
  <c r="S114" i="5" s="1"/>
  <c r="M56" i="5"/>
  <c r="S56" i="5" s="1"/>
  <c r="M60" i="5"/>
  <c r="S60" i="5" s="1"/>
  <c r="M32" i="5"/>
  <c r="S32" i="5" s="1"/>
  <c r="K109" i="5"/>
  <c r="K72" i="5"/>
  <c r="K69" i="5"/>
  <c r="K146" i="5"/>
  <c r="K140" i="5"/>
  <c r="K83" i="5"/>
  <c r="K87" i="5"/>
  <c r="K73" i="5"/>
  <c r="K34" i="5"/>
  <c r="M167" i="5"/>
  <c r="S167" i="5" s="1"/>
  <c r="M106" i="5"/>
  <c r="S106" i="5" s="1"/>
  <c r="M83" i="5"/>
  <c r="S83" i="5" s="1"/>
  <c r="M92" i="5"/>
  <c r="S92" i="5" s="1"/>
  <c r="M103" i="5"/>
  <c r="S103" i="5" s="1"/>
  <c r="M105" i="5"/>
  <c r="S105" i="5" s="1"/>
  <c r="M95" i="5"/>
  <c r="S95" i="5" s="1"/>
  <c r="M33" i="5"/>
  <c r="S33" i="5" s="1"/>
  <c r="M54" i="5"/>
  <c r="S54" i="5" s="1"/>
  <c r="K111" i="5"/>
  <c r="K157" i="5"/>
  <c r="K78" i="5"/>
  <c r="K91" i="5"/>
  <c r="K93" i="5"/>
  <c r="K40" i="5"/>
  <c r="K42" i="5"/>
  <c r="M168" i="5"/>
  <c r="S168" i="5" s="1"/>
  <c r="M136" i="5"/>
  <c r="S136" i="5" s="1"/>
  <c r="M43" i="5"/>
  <c r="S43" i="5" s="1"/>
  <c r="M87" i="5"/>
  <c r="S87" i="5" s="1"/>
  <c r="M139" i="5"/>
  <c r="S139" i="5" s="1"/>
  <c r="M112" i="5"/>
  <c r="S112" i="5" s="1"/>
  <c r="M104" i="5"/>
  <c r="S104" i="5" s="1"/>
  <c r="M53" i="5"/>
  <c r="S53" i="5" s="1"/>
  <c r="M51" i="5"/>
  <c r="S51" i="5" s="1"/>
  <c r="M29" i="5"/>
  <c r="S29" i="5" s="1"/>
  <c r="K37" i="5"/>
  <c r="K36" i="5"/>
  <c r="M118" i="5"/>
  <c r="S118" i="5" s="1"/>
  <c r="M135" i="5"/>
  <c r="S135" i="5" s="1"/>
  <c r="M28" i="5"/>
  <c r="S28" i="5" s="1"/>
  <c r="M70" i="5"/>
  <c r="S70" i="5" s="1"/>
  <c r="M133" i="5"/>
  <c r="S133" i="5" s="1"/>
  <c r="M111" i="5"/>
  <c r="S111" i="5" s="1"/>
  <c r="M100" i="5"/>
  <c r="S100" i="5" s="1"/>
  <c r="M52" i="5"/>
  <c r="S52" i="5" s="1"/>
  <c r="M44" i="5"/>
  <c r="S44" i="5" s="1"/>
  <c r="K52" i="5"/>
  <c r="K64" i="5"/>
  <c r="K143" i="5"/>
  <c r="K136" i="5"/>
  <c r="K85" i="5"/>
  <c r="K153" i="5"/>
  <c r="K88" i="5"/>
  <c r="K130" i="5"/>
  <c r="K103" i="5"/>
  <c r="M113" i="5"/>
  <c r="S113" i="5" s="1"/>
  <c r="M169" i="5"/>
  <c r="S169" i="5" s="1"/>
  <c r="M58" i="5"/>
  <c r="S58" i="5" s="1"/>
  <c r="M73" i="5"/>
  <c r="S73" i="5" s="1"/>
  <c r="M45" i="5"/>
  <c r="S45" i="5" s="1"/>
  <c r="K170" i="5"/>
  <c r="K173" i="5"/>
  <c r="K132" i="5"/>
  <c r="K38" i="5"/>
  <c r="M159" i="5"/>
  <c r="S159" i="5" s="1"/>
  <c r="M148" i="5"/>
  <c r="S148" i="5" s="1"/>
  <c r="M126" i="5"/>
  <c r="S126" i="5" s="1"/>
  <c r="M72" i="5"/>
  <c r="S72" i="5" s="1"/>
  <c r="M24" i="5"/>
  <c r="S24" i="5" s="1"/>
  <c r="K120" i="5"/>
  <c r="K30" i="5"/>
  <c r="K50" i="5"/>
  <c r="M59" i="5"/>
  <c r="S59" i="5" s="1"/>
  <c r="M156" i="5"/>
  <c r="S156" i="5" s="1"/>
  <c r="K112" i="5"/>
  <c r="K101" i="5"/>
  <c r="K61" i="5"/>
  <c r="K102" i="5"/>
  <c r="K44" i="5"/>
  <c r="M163" i="5"/>
  <c r="S163" i="5" s="1"/>
  <c r="K98" i="5"/>
  <c r="K51" i="5"/>
  <c r="K147" i="5"/>
  <c r="K148" i="5"/>
  <c r="K129" i="5"/>
  <c r="K163" i="5"/>
  <c r="K99" i="5"/>
  <c r="K106" i="5"/>
  <c r="K113" i="5"/>
  <c r="K142" i="5"/>
  <c r="K29" i="5"/>
  <c r="K125" i="5"/>
  <c r="K76" i="5"/>
  <c r="K26" i="5"/>
  <c r="M121" i="5"/>
  <c r="S121" i="5" s="1"/>
  <c r="M88" i="5"/>
  <c r="S88" i="5" s="1"/>
  <c r="M42" i="5"/>
  <c r="S42" i="5" s="1"/>
  <c r="M125" i="5"/>
  <c r="S125" i="5" s="1"/>
  <c r="M110" i="5"/>
  <c r="S110" i="5" s="1"/>
  <c r="M98" i="5"/>
  <c r="S98" i="5" s="1"/>
  <c r="M34" i="5"/>
  <c r="S34" i="5" s="1"/>
  <c r="M35" i="5"/>
  <c r="S35" i="5" s="1"/>
  <c r="K162" i="5"/>
  <c r="K141" i="5"/>
  <c r="K168" i="5"/>
  <c r="K96" i="5"/>
  <c r="K124" i="5"/>
  <c r="K123" i="5"/>
  <c r="K31" i="5"/>
  <c r="K32" i="5"/>
  <c r="K53" i="5"/>
  <c r="K33" i="5"/>
  <c r="M107" i="5"/>
  <c r="S107" i="5" s="1"/>
  <c r="M171" i="5"/>
  <c r="S171" i="5" s="1"/>
  <c r="M166" i="5"/>
  <c r="S166" i="5" s="1"/>
  <c r="M162" i="5"/>
  <c r="S162" i="5" s="1"/>
  <c r="M49" i="5"/>
  <c r="S49" i="5" s="1"/>
  <c r="M86" i="5"/>
  <c r="S86" i="5" s="1"/>
  <c r="M62" i="5"/>
  <c r="S62" i="5" s="1"/>
  <c r="M78" i="5"/>
  <c r="S78" i="5" s="1"/>
  <c r="M40" i="5"/>
  <c r="S40" i="5" s="1"/>
  <c r="K63" i="5"/>
  <c r="K145" i="5"/>
  <c r="K137" i="5"/>
  <c r="K75" i="5"/>
  <c r="K82" i="5"/>
  <c r="K71" i="5"/>
  <c r="K25" i="5"/>
  <c r="M151" i="5"/>
  <c r="S151" i="5" s="1"/>
  <c r="M102" i="5"/>
  <c r="S102" i="5" s="1"/>
  <c r="M77" i="5"/>
  <c r="S77" i="5" s="1"/>
  <c r="M84" i="5"/>
  <c r="S84" i="5" s="1"/>
  <c r="M94" i="5"/>
  <c r="S94" i="5" s="1"/>
  <c r="M101" i="5"/>
  <c r="S101" i="5" s="1"/>
  <c r="M89" i="5"/>
  <c r="S89" i="5" s="1"/>
  <c r="M27" i="5"/>
  <c r="S27" i="5" s="1"/>
  <c r="M48" i="5"/>
  <c r="S48" i="5" s="1"/>
  <c r="K74" i="5"/>
  <c r="K68" i="5"/>
  <c r="K46" i="5"/>
  <c r="M146" i="5"/>
  <c r="S146" i="5" s="1"/>
  <c r="M97" i="5"/>
  <c r="S97" i="5" s="1"/>
  <c r="M41" i="5"/>
  <c r="S41" i="5" s="1"/>
  <c r="M172" i="5"/>
  <c r="S172" i="5" s="1"/>
  <c r="M82" i="5"/>
  <c r="S82" i="5" s="1"/>
  <c r="M99" i="5"/>
  <c r="S99" i="5" s="1"/>
  <c r="M85" i="5"/>
  <c r="S85" i="5" s="1"/>
  <c r="M25" i="5"/>
  <c r="S25" i="5" s="1"/>
  <c r="M47" i="5"/>
  <c r="S47" i="5" s="1"/>
  <c r="K79" i="5"/>
  <c r="K118" i="5"/>
  <c r="K41" i="5"/>
  <c r="K139" i="5"/>
  <c r="K154" i="5"/>
  <c r="K110" i="5"/>
  <c r="K67" i="5"/>
  <c r="K92" i="5"/>
  <c r="K160" i="5"/>
  <c r="K24" i="5"/>
  <c r="M76" i="5"/>
  <c r="S76" i="5" s="1"/>
  <c r="M170" i="5"/>
  <c r="S170" i="5" s="1"/>
  <c r="M96" i="5"/>
  <c r="S96" i="5" s="1"/>
  <c r="M79" i="5"/>
  <c r="S79" i="5" s="1"/>
  <c r="K144" i="5"/>
  <c r="K151" i="5"/>
  <c r="K105" i="5"/>
  <c r="K108" i="5"/>
  <c r="K70" i="5"/>
  <c r="M122" i="5"/>
  <c r="S122" i="5" s="1"/>
  <c r="M108" i="5"/>
  <c r="S108" i="5" s="1"/>
  <c r="M147" i="5"/>
  <c r="S147" i="5" s="1"/>
  <c r="M134" i="5"/>
  <c r="S134" i="5" s="1"/>
  <c r="M65" i="5"/>
  <c r="S65" i="5" s="1"/>
  <c r="K89" i="5"/>
  <c r="K122" i="5"/>
  <c r="K80" i="5"/>
  <c r="K28" i="5"/>
  <c r="M164" i="5"/>
  <c r="S164" i="5" s="1"/>
  <c r="M38" i="5"/>
  <c r="S38" i="5" s="1"/>
  <c r="M26" i="5"/>
  <c r="S26" i="5" s="1"/>
  <c r="M129" i="5"/>
  <c r="S129" i="5" s="1"/>
  <c r="M154" i="5"/>
  <c r="S154" i="5" s="1"/>
  <c r="M165" i="5"/>
  <c r="S165" i="5" s="1"/>
  <c r="K47" i="5"/>
  <c r="M39" i="5"/>
  <c r="S39" i="5" s="1"/>
  <c r="M36" i="5"/>
  <c r="S36" i="5" s="1"/>
  <c r="M130" i="5"/>
  <c r="S130" i="5" s="1"/>
  <c r="M93" i="5"/>
  <c r="S93" i="5" s="1"/>
  <c r="K62" i="5"/>
  <c r="K167" i="5"/>
  <c r="M109" i="5"/>
  <c r="S109" i="5" s="1"/>
  <c r="M68" i="5"/>
  <c r="S68" i="5" s="1"/>
  <c r="K54" i="5"/>
  <c r="K159" i="5"/>
  <c r="M30" i="5"/>
  <c r="S30" i="5" s="1"/>
  <c r="M128" i="5"/>
  <c r="S128" i="5" s="1"/>
  <c r="M138" i="5"/>
  <c r="S138" i="5" s="1"/>
  <c r="K171" i="5"/>
  <c r="K134" i="5"/>
  <c r="K161" i="5"/>
  <c r="K58" i="5"/>
  <c r="M37" i="5"/>
  <c r="S37" i="5" s="1"/>
  <c r="M64" i="5"/>
  <c r="S64" i="5" s="1"/>
  <c r="M119" i="5"/>
  <c r="S119" i="5" s="1"/>
  <c r="M131" i="5"/>
  <c r="S131" i="5" s="1"/>
  <c r="M145" i="5"/>
  <c r="S145" i="5" s="1"/>
  <c r="K49" i="5"/>
  <c r="M50" i="5"/>
  <c r="S50" i="5" s="1"/>
  <c r="M66" i="5"/>
  <c r="S66" i="5" s="1"/>
  <c r="M120" i="5"/>
  <c r="S120" i="5" s="1"/>
  <c r="M142" i="5"/>
  <c r="S142" i="5" s="1"/>
  <c r="K56" i="5"/>
  <c r="K100" i="5"/>
  <c r="M55" i="5"/>
  <c r="S55" i="5" s="1"/>
  <c r="M90" i="5"/>
  <c r="S90" i="5" s="1"/>
  <c r="K43" i="5"/>
  <c r="K86" i="5"/>
  <c r="K166" i="5"/>
  <c r="M46" i="5"/>
  <c r="S46" i="5" s="1"/>
  <c r="M153" i="5"/>
  <c r="S153" i="5" s="1"/>
  <c r="K126" i="5"/>
  <c r="K131" i="5"/>
  <c r="K152" i="5"/>
  <c r="M150" i="5"/>
  <c r="S150" i="5" s="1"/>
  <c r="K81" i="5"/>
  <c r="K23" i="5"/>
  <c r="L12" i="5"/>
  <c r="L23" i="5"/>
  <c r="M23" i="5"/>
  <c r="S23" i="5" s="1"/>
  <c r="C24" i="1"/>
  <c r="D24" i="1" s="1"/>
  <c r="Q23" i="1" s="1"/>
  <c r="AF79" i="5" s="1"/>
  <c r="K58" i="2"/>
  <c r="L59" i="2" s="1"/>
  <c r="Q59" i="5" l="1"/>
  <c r="R150" i="5"/>
  <c r="Q150" i="5"/>
  <c r="Q48" i="5"/>
  <c r="Q97" i="5"/>
  <c r="R169" i="5"/>
  <c r="R128" i="5"/>
  <c r="Q94" i="5"/>
  <c r="R138" i="5"/>
  <c r="R65" i="5"/>
  <c r="R27" i="5"/>
  <c r="R84" i="5"/>
  <c r="Q156" i="5"/>
  <c r="Q60" i="5"/>
  <c r="Q77" i="5"/>
  <c r="Q57" i="5"/>
  <c r="R107" i="5"/>
  <c r="Q138" i="5"/>
  <c r="Q117" i="5"/>
  <c r="R77" i="5"/>
  <c r="R59" i="5"/>
  <c r="Q65" i="5"/>
  <c r="R156" i="5"/>
  <c r="R57" i="5"/>
  <c r="Q27" i="5"/>
  <c r="Q116" i="5"/>
  <c r="R45" i="5"/>
  <c r="Q49" i="5"/>
  <c r="R49" i="5"/>
  <c r="R122" i="5"/>
  <c r="Q122" i="5"/>
  <c r="R110" i="5"/>
  <c r="Q110" i="5"/>
  <c r="Q71" i="5"/>
  <c r="R71" i="5"/>
  <c r="Q53" i="5"/>
  <c r="R53" i="5"/>
  <c r="R162" i="5"/>
  <c r="Q162" i="5"/>
  <c r="R99" i="5"/>
  <c r="Q99" i="5"/>
  <c r="Q44" i="5"/>
  <c r="R44" i="5"/>
  <c r="Q30" i="5"/>
  <c r="R30" i="5"/>
  <c r="Q111" i="5"/>
  <c r="R111" i="5"/>
  <c r="R69" i="5"/>
  <c r="Q69" i="5"/>
  <c r="Q172" i="5"/>
  <c r="R172" i="5"/>
  <c r="R133" i="5"/>
  <c r="Q133" i="5"/>
  <c r="R166" i="5"/>
  <c r="Q166" i="5"/>
  <c r="R89" i="5"/>
  <c r="Q89" i="5"/>
  <c r="R160" i="5"/>
  <c r="Q160" i="5"/>
  <c r="Q79" i="5"/>
  <c r="R79" i="5"/>
  <c r="R82" i="5"/>
  <c r="Q82" i="5"/>
  <c r="R32" i="5"/>
  <c r="Q32" i="5"/>
  <c r="R96" i="5"/>
  <c r="Q96" i="5"/>
  <c r="R142" i="5"/>
  <c r="Q142" i="5"/>
  <c r="R163" i="5"/>
  <c r="Q163" i="5"/>
  <c r="Q51" i="5"/>
  <c r="R51" i="5"/>
  <c r="R102" i="5"/>
  <c r="Q102" i="5"/>
  <c r="R120" i="5"/>
  <c r="Q120" i="5"/>
  <c r="R72" i="5"/>
  <c r="Q72" i="5"/>
  <c r="R135" i="5"/>
  <c r="Q135" i="5"/>
  <c r="R155" i="5"/>
  <c r="Q155" i="5"/>
  <c r="Q81" i="5"/>
  <c r="R81" i="5"/>
  <c r="R86" i="5"/>
  <c r="Q86" i="5"/>
  <c r="Q100" i="5"/>
  <c r="R100" i="5"/>
  <c r="Q169" i="5"/>
  <c r="R171" i="5"/>
  <c r="Q171" i="5"/>
  <c r="R159" i="5"/>
  <c r="Q159" i="5"/>
  <c r="Q167" i="5"/>
  <c r="R167" i="5"/>
  <c r="R48" i="5"/>
  <c r="Q28" i="5"/>
  <c r="R28" i="5"/>
  <c r="Q151" i="5"/>
  <c r="R151" i="5"/>
  <c r="R92" i="5"/>
  <c r="Q92" i="5"/>
  <c r="R43" i="5"/>
  <c r="Q43" i="5"/>
  <c r="R56" i="5"/>
  <c r="Q56" i="5"/>
  <c r="Q58" i="5"/>
  <c r="R58" i="5"/>
  <c r="Q54" i="5"/>
  <c r="R54" i="5"/>
  <c r="Q62" i="5"/>
  <c r="R62" i="5"/>
  <c r="R80" i="5"/>
  <c r="Q80" i="5"/>
  <c r="Q70" i="5"/>
  <c r="R70" i="5"/>
  <c r="R144" i="5"/>
  <c r="Q144" i="5"/>
  <c r="Q67" i="5"/>
  <c r="R67" i="5"/>
  <c r="Q41" i="5"/>
  <c r="R41" i="5"/>
  <c r="Q46" i="5"/>
  <c r="R46" i="5"/>
  <c r="Q25" i="5"/>
  <c r="R25" i="5"/>
  <c r="R137" i="5"/>
  <c r="Q137" i="5"/>
  <c r="R33" i="5"/>
  <c r="Q33" i="5"/>
  <c r="R123" i="5"/>
  <c r="Q123" i="5"/>
  <c r="R141" i="5"/>
  <c r="Q141" i="5"/>
  <c r="Q125" i="5"/>
  <c r="R125" i="5"/>
  <c r="Q106" i="5"/>
  <c r="R106" i="5"/>
  <c r="Q148" i="5"/>
  <c r="R148" i="5"/>
  <c r="R101" i="5"/>
  <c r="Q101" i="5"/>
  <c r="Q50" i="5"/>
  <c r="R50" i="5"/>
  <c r="Q38" i="5"/>
  <c r="R38" i="5"/>
  <c r="R153" i="5"/>
  <c r="Q153" i="5"/>
  <c r="Q64" i="5"/>
  <c r="R64" i="5"/>
  <c r="Q37" i="5"/>
  <c r="R37" i="5"/>
  <c r="Q40" i="5"/>
  <c r="R40" i="5"/>
  <c r="R157" i="5"/>
  <c r="Q157" i="5"/>
  <c r="R73" i="5"/>
  <c r="Q73" i="5"/>
  <c r="R146" i="5"/>
  <c r="Q146" i="5"/>
  <c r="Q165" i="5"/>
  <c r="R165" i="5"/>
  <c r="R127" i="5"/>
  <c r="Q127" i="5"/>
  <c r="Q119" i="5"/>
  <c r="R119" i="5"/>
  <c r="R114" i="5"/>
  <c r="Q114" i="5"/>
  <c r="Q55" i="5"/>
  <c r="R55" i="5"/>
  <c r="R149" i="5"/>
  <c r="Q149" i="5"/>
  <c r="R94" i="5"/>
  <c r="R116" i="5"/>
  <c r="R60" i="5"/>
  <c r="R152" i="5"/>
  <c r="Q152" i="5"/>
  <c r="Q161" i="5"/>
  <c r="R161" i="5"/>
  <c r="Q47" i="5"/>
  <c r="R47" i="5"/>
  <c r="Q108" i="5"/>
  <c r="R108" i="5"/>
  <c r="Q24" i="5"/>
  <c r="R24" i="5"/>
  <c r="R118" i="5"/>
  <c r="Q118" i="5"/>
  <c r="Q68" i="5"/>
  <c r="R68" i="5"/>
  <c r="Q145" i="5"/>
  <c r="R145" i="5"/>
  <c r="Q124" i="5"/>
  <c r="R124" i="5"/>
  <c r="R29" i="5"/>
  <c r="Q29" i="5"/>
  <c r="Q147" i="5"/>
  <c r="R147" i="5"/>
  <c r="R112" i="5"/>
  <c r="Q112" i="5"/>
  <c r="R132" i="5"/>
  <c r="Q132" i="5"/>
  <c r="Q103" i="5"/>
  <c r="R103" i="5"/>
  <c r="Q85" i="5"/>
  <c r="R85" i="5"/>
  <c r="R52" i="5"/>
  <c r="Q52" i="5"/>
  <c r="Q93" i="5"/>
  <c r="R93" i="5"/>
  <c r="Q87" i="5"/>
  <c r="R87" i="5"/>
  <c r="Q35" i="5"/>
  <c r="R35" i="5"/>
  <c r="R66" i="5"/>
  <c r="Q66" i="5"/>
  <c r="Q104" i="5"/>
  <c r="R104" i="5"/>
  <c r="R131" i="5"/>
  <c r="Q131" i="5"/>
  <c r="R134" i="5"/>
  <c r="Q134" i="5"/>
  <c r="R105" i="5"/>
  <c r="Q105" i="5"/>
  <c r="R154" i="5"/>
  <c r="Q154" i="5"/>
  <c r="Q74" i="5"/>
  <c r="R74" i="5"/>
  <c r="Q63" i="5"/>
  <c r="R63" i="5"/>
  <c r="Q26" i="5"/>
  <c r="R26" i="5"/>
  <c r="Q173" i="5"/>
  <c r="R173" i="5"/>
  <c r="R130" i="5"/>
  <c r="Q130" i="5"/>
  <c r="R136" i="5"/>
  <c r="Q136" i="5"/>
  <c r="Q91" i="5"/>
  <c r="R91" i="5"/>
  <c r="Q83" i="5"/>
  <c r="R83" i="5"/>
  <c r="R90" i="5"/>
  <c r="Q90" i="5"/>
  <c r="R164" i="5"/>
  <c r="Q164" i="5"/>
  <c r="R115" i="5"/>
  <c r="Q115" i="5"/>
  <c r="R117" i="5"/>
  <c r="Q84" i="5"/>
  <c r="R126" i="5"/>
  <c r="Q126" i="5"/>
  <c r="Q139" i="5"/>
  <c r="R139" i="5"/>
  <c r="Q75" i="5"/>
  <c r="R75" i="5"/>
  <c r="R31" i="5"/>
  <c r="Q31" i="5"/>
  <c r="Q168" i="5"/>
  <c r="R168" i="5"/>
  <c r="R76" i="5"/>
  <c r="Q76" i="5"/>
  <c r="Q113" i="5"/>
  <c r="R113" i="5"/>
  <c r="Q129" i="5"/>
  <c r="R129" i="5"/>
  <c r="R98" i="5"/>
  <c r="Q98" i="5"/>
  <c r="R61" i="5"/>
  <c r="Q61" i="5"/>
  <c r="R170" i="5"/>
  <c r="Q170" i="5"/>
  <c r="Q88" i="5"/>
  <c r="R88" i="5"/>
  <c r="R143" i="5"/>
  <c r="Q143" i="5"/>
  <c r="R36" i="5"/>
  <c r="Q36" i="5"/>
  <c r="Q42" i="5"/>
  <c r="R42" i="5"/>
  <c r="Q78" i="5"/>
  <c r="R78" i="5"/>
  <c r="R34" i="5"/>
  <c r="Q34" i="5"/>
  <c r="Q140" i="5"/>
  <c r="R140" i="5"/>
  <c r="Q109" i="5"/>
  <c r="R109" i="5"/>
  <c r="Q95" i="5"/>
  <c r="R95" i="5"/>
  <c r="R121" i="5"/>
  <c r="Q121" i="5"/>
  <c r="Q39" i="5"/>
  <c r="R39" i="5"/>
  <c r="R158" i="5"/>
  <c r="Q158" i="5"/>
  <c r="Q128" i="5"/>
  <c r="Q107" i="5"/>
  <c r="R97" i="5"/>
  <c r="Q23" i="5"/>
  <c r="AE80" i="5"/>
  <c r="R23" i="5"/>
  <c r="Y114" i="5"/>
  <c r="AA114" i="5" s="1"/>
  <c r="Y116" i="5"/>
  <c r="AA116" i="5" s="1"/>
  <c r="C22" i="1"/>
  <c r="D22" i="1" s="1"/>
  <c r="Q21" i="1" s="1"/>
  <c r="C26" i="1"/>
  <c r="D26" i="1" s="1"/>
  <c r="Q25" i="1" s="1"/>
  <c r="AF80" i="5" s="1"/>
  <c r="E27" i="1"/>
  <c r="AE79" i="5" l="1"/>
  <c r="AE78" i="5"/>
  <c r="AF78" i="5"/>
  <c r="AI78" i="5" l="1"/>
  <c r="F22" i="1" s="1"/>
  <c r="F26" i="1" s="1"/>
  <c r="G26" i="1" s="1"/>
  <c r="F23" i="1"/>
  <c r="G23" i="1" s="1"/>
  <c r="W112" i="5"/>
  <c r="V112" i="5" s="1"/>
  <c r="D6" i="5"/>
  <c r="B24" i="5" l="1"/>
  <c r="B31" i="5"/>
  <c r="B48" i="5"/>
  <c r="B39" i="5"/>
  <c r="B54" i="5"/>
  <c r="B49" i="5"/>
  <c r="B70" i="5"/>
  <c r="B78" i="5"/>
  <c r="B52" i="5"/>
  <c r="B69" i="5"/>
  <c r="B56" i="5"/>
  <c r="B99" i="5"/>
  <c r="B108" i="5"/>
  <c r="B119" i="5"/>
  <c r="B53" i="5"/>
  <c r="B72" i="5"/>
  <c r="B97" i="5"/>
  <c r="B113" i="5"/>
  <c r="B126" i="5"/>
  <c r="B135" i="5"/>
  <c r="B90" i="5"/>
  <c r="B116" i="5"/>
  <c r="B132" i="5"/>
  <c r="B149" i="5"/>
  <c r="B170" i="5"/>
  <c r="B33" i="5"/>
  <c r="B89" i="5"/>
  <c r="B103" i="5"/>
  <c r="B142" i="5"/>
  <c r="B154" i="5"/>
  <c r="B163" i="5"/>
  <c r="B68" i="5"/>
  <c r="B137" i="5"/>
  <c r="B36" i="5"/>
  <c r="B155" i="5"/>
  <c r="B34" i="5"/>
  <c r="B160" i="5"/>
  <c r="B168" i="5"/>
  <c r="B25" i="5"/>
  <c r="B37" i="5"/>
  <c r="B51" i="5"/>
  <c r="B45" i="5"/>
  <c r="B57" i="5"/>
  <c r="B60" i="5"/>
  <c r="B75" i="5"/>
  <c r="B32" i="5"/>
  <c r="B61" i="5"/>
  <c r="B74" i="5"/>
  <c r="B84" i="5"/>
  <c r="B101" i="5"/>
  <c r="B111" i="5"/>
  <c r="B124" i="5"/>
  <c r="B58" i="5"/>
  <c r="B81" i="5"/>
  <c r="B98" i="5"/>
  <c r="B114" i="5"/>
  <c r="B128" i="5"/>
  <c r="B139" i="5"/>
  <c r="B91" i="5"/>
  <c r="B121" i="5"/>
  <c r="B136" i="5"/>
  <c r="B152" i="5"/>
  <c r="B172" i="5"/>
  <c r="B66" i="5"/>
  <c r="B92" i="5"/>
  <c r="B112" i="5"/>
  <c r="B145" i="5"/>
  <c r="B156" i="5"/>
  <c r="B166" i="5"/>
  <c r="B55" i="5"/>
  <c r="B151" i="5"/>
  <c r="B109" i="5"/>
  <c r="B158" i="5"/>
  <c r="B82" i="5"/>
  <c r="B165" i="5"/>
  <c r="B146" i="5"/>
  <c r="B29" i="5"/>
  <c r="B38" i="5"/>
  <c r="B26" i="5"/>
  <c r="B46" i="5"/>
  <c r="B42" i="5"/>
  <c r="B63" i="5"/>
  <c r="B76" i="5"/>
  <c r="B41" i="5"/>
  <c r="B64" i="5"/>
  <c r="B79" i="5"/>
  <c r="B88" i="5"/>
  <c r="B105" i="5"/>
  <c r="B115" i="5"/>
  <c r="B129" i="5"/>
  <c r="B59" i="5"/>
  <c r="B87" i="5"/>
  <c r="B100" i="5"/>
  <c r="B117" i="5"/>
  <c r="B130" i="5"/>
  <c r="B141" i="5"/>
  <c r="B107" i="5"/>
  <c r="B122" i="5"/>
  <c r="B138" i="5"/>
  <c r="B162" i="5"/>
  <c r="B62" i="5"/>
  <c r="B73" i="5"/>
  <c r="B96" i="5"/>
  <c r="B125" i="5"/>
  <c r="B148" i="5"/>
  <c r="B157" i="5"/>
  <c r="B167" i="5"/>
  <c r="B95" i="5"/>
  <c r="B50" i="5"/>
  <c r="B143" i="5"/>
  <c r="B161" i="5"/>
  <c r="B86" i="5"/>
  <c r="B131" i="5"/>
  <c r="B30" i="5"/>
  <c r="B40" i="5"/>
  <c r="B28" i="5"/>
  <c r="B47" i="5"/>
  <c r="B43" i="5"/>
  <c r="B65" i="5"/>
  <c r="B77" i="5"/>
  <c r="B44" i="5"/>
  <c r="B67" i="5"/>
  <c r="B35" i="5"/>
  <c r="B94" i="5"/>
  <c r="B106" i="5"/>
  <c r="B118" i="5"/>
  <c r="B134" i="5"/>
  <c r="B71" i="5"/>
  <c r="B93" i="5"/>
  <c r="B104" i="5"/>
  <c r="B120" i="5"/>
  <c r="B133" i="5"/>
  <c r="B27" i="5"/>
  <c r="B110" i="5"/>
  <c r="B127" i="5"/>
  <c r="B144" i="5"/>
  <c r="B169" i="5"/>
  <c r="B80" i="5"/>
  <c r="B85" i="5"/>
  <c r="B102" i="5"/>
  <c r="B140" i="5"/>
  <c r="B153" i="5"/>
  <c r="B159" i="5"/>
  <c r="B173" i="5"/>
  <c r="B123" i="5"/>
  <c r="B83" i="5"/>
  <c r="B147" i="5"/>
  <c r="B164" i="5"/>
  <c r="B150" i="5"/>
  <c r="B171" i="5"/>
  <c r="G22" i="1"/>
  <c r="F24" i="1"/>
  <c r="G24" i="1" s="1"/>
  <c r="B19" i="5"/>
  <c r="C19" i="5" s="1"/>
  <c r="B18" i="5"/>
  <c r="C18" i="5" s="1"/>
  <c r="B23" i="5"/>
  <c r="D164" i="5" l="1"/>
  <c r="J164" i="5" s="1"/>
  <c r="P164" i="5" s="1"/>
  <c r="C164" i="5"/>
  <c r="D173" i="5"/>
  <c r="J173" i="5" s="1"/>
  <c r="P173" i="5" s="1"/>
  <c r="C173" i="5"/>
  <c r="D102" i="5"/>
  <c r="J102" i="5" s="1"/>
  <c r="P102" i="5" s="1"/>
  <c r="C102" i="5"/>
  <c r="D144" i="5"/>
  <c r="J144" i="5" s="1"/>
  <c r="P144" i="5" s="1"/>
  <c r="C144" i="5"/>
  <c r="C133" i="5"/>
  <c r="D133" i="5"/>
  <c r="J133" i="5" s="1"/>
  <c r="P133" i="5" s="1"/>
  <c r="C71" i="5"/>
  <c r="D71" i="5"/>
  <c r="J71" i="5" s="1"/>
  <c r="P71" i="5" s="1"/>
  <c r="D94" i="5"/>
  <c r="J94" i="5" s="1"/>
  <c r="P94" i="5" s="1"/>
  <c r="C94" i="5"/>
  <c r="D77" i="5"/>
  <c r="J77" i="5" s="1"/>
  <c r="P77" i="5" s="1"/>
  <c r="C77" i="5"/>
  <c r="C28" i="5"/>
  <c r="D28" i="5"/>
  <c r="J28" i="5" s="1"/>
  <c r="P28" i="5" s="1"/>
  <c r="C86" i="5"/>
  <c r="D86" i="5"/>
  <c r="J86" i="5" s="1"/>
  <c r="P86" i="5" s="1"/>
  <c r="C95" i="5"/>
  <c r="D95" i="5"/>
  <c r="J95" i="5" s="1"/>
  <c r="P95" i="5" s="1"/>
  <c r="D125" i="5"/>
  <c r="J125" i="5" s="1"/>
  <c r="P125" i="5" s="1"/>
  <c r="C125" i="5"/>
  <c r="D162" i="5"/>
  <c r="J162" i="5" s="1"/>
  <c r="P162" i="5" s="1"/>
  <c r="C162" i="5"/>
  <c r="C141" i="5"/>
  <c r="D141" i="5"/>
  <c r="J141" i="5" s="1"/>
  <c r="P141" i="5" s="1"/>
  <c r="D87" i="5"/>
  <c r="J87" i="5" s="1"/>
  <c r="P87" i="5" s="1"/>
  <c r="C87" i="5"/>
  <c r="C105" i="5"/>
  <c r="D105" i="5"/>
  <c r="J105" i="5" s="1"/>
  <c r="P105" i="5" s="1"/>
  <c r="D41" i="5"/>
  <c r="J41" i="5" s="1"/>
  <c r="P41" i="5" s="1"/>
  <c r="C41" i="5"/>
  <c r="C46" i="5"/>
  <c r="D46" i="5"/>
  <c r="J46" i="5" s="1"/>
  <c r="P46" i="5" s="1"/>
  <c r="D146" i="5"/>
  <c r="J146" i="5" s="1"/>
  <c r="P146" i="5" s="1"/>
  <c r="C146" i="5"/>
  <c r="C109" i="5"/>
  <c r="D109" i="5"/>
  <c r="J109" i="5" s="1"/>
  <c r="P109" i="5" s="1"/>
  <c r="D156" i="5"/>
  <c r="J156" i="5" s="1"/>
  <c r="P156" i="5" s="1"/>
  <c r="C156" i="5"/>
  <c r="C66" i="5"/>
  <c r="D66" i="5"/>
  <c r="J66" i="5" s="1"/>
  <c r="P66" i="5" s="1"/>
  <c r="D121" i="5"/>
  <c r="J121" i="5" s="1"/>
  <c r="P121" i="5" s="1"/>
  <c r="C121" i="5"/>
  <c r="C114" i="5"/>
  <c r="D114" i="5"/>
  <c r="J114" i="5" s="1"/>
  <c r="P114" i="5" s="1"/>
  <c r="D124" i="5"/>
  <c r="J124" i="5" s="1"/>
  <c r="P124" i="5" s="1"/>
  <c r="C124" i="5"/>
  <c r="D74" i="5"/>
  <c r="J74" i="5" s="1"/>
  <c r="P74" i="5" s="1"/>
  <c r="C74" i="5"/>
  <c r="C60" i="5"/>
  <c r="D60" i="5"/>
  <c r="J60" i="5" s="1"/>
  <c r="P60" i="5" s="1"/>
  <c r="D37" i="5"/>
  <c r="J37" i="5" s="1"/>
  <c r="P37" i="5" s="1"/>
  <c r="C37" i="5"/>
  <c r="D34" i="5"/>
  <c r="J34" i="5" s="1"/>
  <c r="P34" i="5" s="1"/>
  <c r="C34" i="5"/>
  <c r="C68" i="5"/>
  <c r="D68" i="5"/>
  <c r="J68" i="5" s="1"/>
  <c r="P68" i="5" s="1"/>
  <c r="D103" i="5"/>
  <c r="J103" i="5" s="1"/>
  <c r="P103" i="5" s="1"/>
  <c r="C103" i="5"/>
  <c r="C149" i="5"/>
  <c r="D149" i="5"/>
  <c r="J149" i="5" s="1"/>
  <c r="P149" i="5" s="1"/>
  <c r="C135" i="5"/>
  <c r="D135" i="5"/>
  <c r="J135" i="5" s="1"/>
  <c r="P135" i="5" s="1"/>
  <c r="C72" i="5"/>
  <c r="D72" i="5"/>
  <c r="J72" i="5" s="1"/>
  <c r="P72" i="5" s="1"/>
  <c r="C99" i="5"/>
  <c r="D99" i="5"/>
  <c r="J99" i="5" s="1"/>
  <c r="P99" i="5" s="1"/>
  <c r="C78" i="5"/>
  <c r="D78" i="5"/>
  <c r="J78" i="5" s="1"/>
  <c r="P78" i="5" s="1"/>
  <c r="D39" i="5"/>
  <c r="J39" i="5" s="1"/>
  <c r="P39" i="5" s="1"/>
  <c r="C39" i="5"/>
  <c r="C147" i="5"/>
  <c r="D147" i="5"/>
  <c r="J147" i="5" s="1"/>
  <c r="P147" i="5" s="1"/>
  <c r="C159" i="5"/>
  <c r="D159" i="5"/>
  <c r="J159" i="5" s="1"/>
  <c r="P159" i="5" s="1"/>
  <c r="C85" i="5"/>
  <c r="D85" i="5"/>
  <c r="J85" i="5" s="1"/>
  <c r="P85" i="5" s="1"/>
  <c r="C127" i="5"/>
  <c r="D127" i="5"/>
  <c r="J127" i="5" s="1"/>
  <c r="P127" i="5" s="1"/>
  <c r="D120" i="5"/>
  <c r="J120" i="5" s="1"/>
  <c r="P120" i="5" s="1"/>
  <c r="C120" i="5"/>
  <c r="D134" i="5"/>
  <c r="J134" i="5" s="1"/>
  <c r="P134" i="5" s="1"/>
  <c r="C134" i="5"/>
  <c r="D35" i="5"/>
  <c r="J35" i="5" s="1"/>
  <c r="P35" i="5" s="1"/>
  <c r="C35" i="5"/>
  <c r="D65" i="5"/>
  <c r="J65" i="5" s="1"/>
  <c r="P65" i="5" s="1"/>
  <c r="C65" i="5"/>
  <c r="C40" i="5"/>
  <c r="D40" i="5"/>
  <c r="J40" i="5" s="1"/>
  <c r="P40" i="5" s="1"/>
  <c r="C161" i="5"/>
  <c r="D161" i="5"/>
  <c r="J161" i="5" s="1"/>
  <c r="P161" i="5" s="1"/>
  <c r="D167" i="5"/>
  <c r="J167" i="5" s="1"/>
  <c r="P167" i="5" s="1"/>
  <c r="C167" i="5"/>
  <c r="D96" i="5"/>
  <c r="J96" i="5" s="1"/>
  <c r="P96" i="5" s="1"/>
  <c r="C96" i="5"/>
  <c r="D138" i="5"/>
  <c r="J138" i="5" s="1"/>
  <c r="P138" i="5" s="1"/>
  <c r="C138" i="5"/>
  <c r="D130" i="5"/>
  <c r="J130" i="5" s="1"/>
  <c r="P130" i="5" s="1"/>
  <c r="C130" i="5"/>
  <c r="D59" i="5"/>
  <c r="J59" i="5" s="1"/>
  <c r="P59" i="5" s="1"/>
  <c r="C59" i="5"/>
  <c r="D88" i="5"/>
  <c r="J88" i="5" s="1"/>
  <c r="P88" i="5" s="1"/>
  <c r="C88" i="5"/>
  <c r="C76" i="5"/>
  <c r="D76" i="5"/>
  <c r="J76" i="5" s="1"/>
  <c r="P76" i="5" s="1"/>
  <c r="C26" i="5"/>
  <c r="D26" i="5"/>
  <c r="J26" i="5" s="1"/>
  <c r="P26" i="5" s="1"/>
  <c r="D165" i="5"/>
  <c r="J165" i="5" s="1"/>
  <c r="P165" i="5" s="1"/>
  <c r="C165" i="5"/>
  <c r="D151" i="5"/>
  <c r="J151" i="5" s="1"/>
  <c r="P151" i="5" s="1"/>
  <c r="C151" i="5"/>
  <c r="C145" i="5"/>
  <c r="D145" i="5"/>
  <c r="J145" i="5" s="1"/>
  <c r="P145" i="5" s="1"/>
  <c r="D172" i="5"/>
  <c r="J172" i="5" s="1"/>
  <c r="P172" i="5" s="1"/>
  <c r="C172" i="5"/>
  <c r="D91" i="5"/>
  <c r="J91" i="5" s="1"/>
  <c r="P91" i="5" s="1"/>
  <c r="C91" i="5"/>
  <c r="C98" i="5"/>
  <c r="D98" i="5"/>
  <c r="J98" i="5" s="1"/>
  <c r="P98" i="5" s="1"/>
  <c r="C111" i="5"/>
  <c r="D111" i="5"/>
  <c r="J111" i="5" s="1"/>
  <c r="P111" i="5" s="1"/>
  <c r="C61" i="5"/>
  <c r="D61" i="5"/>
  <c r="J61" i="5" s="1"/>
  <c r="P61" i="5" s="1"/>
  <c r="C57" i="5"/>
  <c r="D57" i="5"/>
  <c r="J57" i="5" s="1"/>
  <c r="P57" i="5" s="1"/>
  <c r="D25" i="5"/>
  <c r="J25" i="5" s="1"/>
  <c r="P25" i="5" s="1"/>
  <c r="C25" i="5"/>
  <c r="C155" i="5"/>
  <c r="D155" i="5"/>
  <c r="J155" i="5" s="1"/>
  <c r="P155" i="5" s="1"/>
  <c r="C163" i="5"/>
  <c r="D163" i="5"/>
  <c r="J163" i="5" s="1"/>
  <c r="P163" i="5" s="1"/>
  <c r="C89" i="5"/>
  <c r="D89" i="5"/>
  <c r="J89" i="5" s="1"/>
  <c r="P89" i="5" s="1"/>
  <c r="D132" i="5"/>
  <c r="J132" i="5" s="1"/>
  <c r="P132" i="5" s="1"/>
  <c r="C132" i="5"/>
  <c r="D126" i="5"/>
  <c r="J126" i="5" s="1"/>
  <c r="P126" i="5" s="1"/>
  <c r="C126" i="5"/>
  <c r="D53" i="5"/>
  <c r="J53" i="5" s="1"/>
  <c r="P53" i="5" s="1"/>
  <c r="C53" i="5"/>
  <c r="C56" i="5"/>
  <c r="D56" i="5"/>
  <c r="J56" i="5" s="1"/>
  <c r="P56" i="5" s="1"/>
  <c r="C70" i="5"/>
  <c r="D70" i="5"/>
  <c r="J70" i="5" s="1"/>
  <c r="P70" i="5" s="1"/>
  <c r="C48" i="5"/>
  <c r="D48" i="5"/>
  <c r="J48" i="5" s="1"/>
  <c r="P48" i="5" s="1"/>
  <c r="D171" i="5"/>
  <c r="J171" i="5" s="1"/>
  <c r="P171" i="5" s="1"/>
  <c r="C171" i="5"/>
  <c r="D83" i="5"/>
  <c r="J83" i="5" s="1"/>
  <c r="P83" i="5" s="1"/>
  <c r="C83" i="5"/>
  <c r="C153" i="5"/>
  <c r="D153" i="5"/>
  <c r="J153" i="5" s="1"/>
  <c r="P153" i="5" s="1"/>
  <c r="D80" i="5"/>
  <c r="J80" i="5" s="1"/>
  <c r="P80" i="5" s="1"/>
  <c r="C80" i="5"/>
  <c r="C110" i="5"/>
  <c r="D110" i="5"/>
  <c r="J110" i="5" s="1"/>
  <c r="P110" i="5" s="1"/>
  <c r="D104" i="5"/>
  <c r="J104" i="5" s="1"/>
  <c r="P104" i="5" s="1"/>
  <c r="C104" i="5"/>
  <c r="D118" i="5"/>
  <c r="J118" i="5" s="1"/>
  <c r="P118" i="5" s="1"/>
  <c r="C118" i="5"/>
  <c r="C67" i="5"/>
  <c r="D67" i="5"/>
  <c r="J67" i="5" s="1"/>
  <c r="P67" i="5" s="1"/>
  <c r="D43" i="5"/>
  <c r="J43" i="5" s="1"/>
  <c r="P43" i="5" s="1"/>
  <c r="C43" i="5"/>
  <c r="C30" i="5"/>
  <c r="D30" i="5"/>
  <c r="J30" i="5" s="1"/>
  <c r="P30" i="5" s="1"/>
  <c r="C143" i="5"/>
  <c r="D143" i="5"/>
  <c r="J143" i="5" s="1"/>
  <c r="P143" i="5" s="1"/>
  <c r="C157" i="5"/>
  <c r="D157" i="5"/>
  <c r="J157" i="5" s="1"/>
  <c r="P157" i="5" s="1"/>
  <c r="C73" i="5"/>
  <c r="D73" i="5"/>
  <c r="J73" i="5" s="1"/>
  <c r="P73" i="5" s="1"/>
  <c r="D122" i="5"/>
  <c r="J122" i="5" s="1"/>
  <c r="P122" i="5" s="1"/>
  <c r="C122" i="5"/>
  <c r="C117" i="5"/>
  <c r="D117" i="5"/>
  <c r="J117" i="5" s="1"/>
  <c r="P117" i="5" s="1"/>
  <c r="C129" i="5"/>
  <c r="D129" i="5"/>
  <c r="J129" i="5" s="1"/>
  <c r="P129" i="5" s="1"/>
  <c r="C79" i="5"/>
  <c r="D79" i="5"/>
  <c r="J79" i="5" s="1"/>
  <c r="P79" i="5" s="1"/>
  <c r="D63" i="5"/>
  <c r="J63" i="5" s="1"/>
  <c r="P63" i="5" s="1"/>
  <c r="C63" i="5"/>
  <c r="C38" i="5"/>
  <c r="D38" i="5"/>
  <c r="J38" i="5" s="1"/>
  <c r="P38" i="5" s="1"/>
  <c r="D82" i="5"/>
  <c r="J82" i="5" s="1"/>
  <c r="P82" i="5" s="1"/>
  <c r="C82" i="5"/>
  <c r="D55" i="5"/>
  <c r="J55" i="5" s="1"/>
  <c r="P55" i="5" s="1"/>
  <c r="C55" i="5"/>
  <c r="D112" i="5"/>
  <c r="J112" i="5" s="1"/>
  <c r="P112" i="5" s="1"/>
  <c r="C112" i="5"/>
  <c r="D152" i="5"/>
  <c r="J152" i="5" s="1"/>
  <c r="P152" i="5" s="1"/>
  <c r="C152" i="5"/>
  <c r="C139" i="5"/>
  <c r="D139" i="5"/>
  <c r="J139" i="5" s="1"/>
  <c r="P139" i="5" s="1"/>
  <c r="D81" i="5"/>
  <c r="J81" i="5" s="1"/>
  <c r="P81" i="5" s="1"/>
  <c r="C81" i="5"/>
  <c r="C101" i="5"/>
  <c r="D101" i="5"/>
  <c r="J101" i="5" s="1"/>
  <c r="P101" i="5" s="1"/>
  <c r="C32" i="5"/>
  <c r="D32" i="5"/>
  <c r="J32" i="5" s="1"/>
  <c r="P32" i="5" s="1"/>
  <c r="D45" i="5"/>
  <c r="J45" i="5" s="1"/>
  <c r="P45" i="5" s="1"/>
  <c r="C45" i="5"/>
  <c r="D168" i="5"/>
  <c r="J168" i="5" s="1"/>
  <c r="P168" i="5" s="1"/>
  <c r="C168" i="5"/>
  <c r="D36" i="5"/>
  <c r="J36" i="5" s="1"/>
  <c r="P36" i="5" s="1"/>
  <c r="C36" i="5"/>
  <c r="D154" i="5"/>
  <c r="J154" i="5" s="1"/>
  <c r="P154" i="5" s="1"/>
  <c r="C154" i="5"/>
  <c r="D33" i="5"/>
  <c r="J33" i="5" s="1"/>
  <c r="P33" i="5" s="1"/>
  <c r="C33" i="5"/>
  <c r="D116" i="5"/>
  <c r="J116" i="5" s="1"/>
  <c r="P116" i="5" s="1"/>
  <c r="C116" i="5"/>
  <c r="C113" i="5"/>
  <c r="D113" i="5"/>
  <c r="J113" i="5" s="1"/>
  <c r="P113" i="5" s="1"/>
  <c r="C119" i="5"/>
  <c r="D119" i="5"/>
  <c r="J119" i="5" s="1"/>
  <c r="P119" i="5" s="1"/>
  <c r="C69" i="5"/>
  <c r="D69" i="5"/>
  <c r="J69" i="5" s="1"/>
  <c r="P69" i="5" s="1"/>
  <c r="D49" i="5"/>
  <c r="J49" i="5" s="1"/>
  <c r="P49" i="5" s="1"/>
  <c r="C49" i="5"/>
  <c r="D31" i="5"/>
  <c r="J31" i="5" s="1"/>
  <c r="P31" i="5" s="1"/>
  <c r="C31" i="5"/>
  <c r="D150" i="5"/>
  <c r="J150" i="5" s="1"/>
  <c r="P150" i="5" s="1"/>
  <c r="C150" i="5"/>
  <c r="D123" i="5"/>
  <c r="J123" i="5" s="1"/>
  <c r="P123" i="5" s="1"/>
  <c r="C123" i="5"/>
  <c r="D140" i="5"/>
  <c r="J140" i="5" s="1"/>
  <c r="P140" i="5" s="1"/>
  <c r="C140" i="5"/>
  <c r="C169" i="5"/>
  <c r="D169" i="5"/>
  <c r="J169" i="5" s="1"/>
  <c r="P169" i="5" s="1"/>
  <c r="D27" i="5"/>
  <c r="J27" i="5" s="1"/>
  <c r="P27" i="5" s="1"/>
  <c r="C27" i="5"/>
  <c r="C93" i="5"/>
  <c r="D93" i="5"/>
  <c r="J93" i="5" s="1"/>
  <c r="P93" i="5" s="1"/>
  <c r="D106" i="5"/>
  <c r="J106" i="5" s="1"/>
  <c r="P106" i="5" s="1"/>
  <c r="C106" i="5"/>
  <c r="D44" i="5"/>
  <c r="J44" i="5" s="1"/>
  <c r="P44" i="5" s="1"/>
  <c r="C44" i="5"/>
  <c r="D47" i="5"/>
  <c r="J47" i="5" s="1"/>
  <c r="P47" i="5" s="1"/>
  <c r="C47" i="5"/>
  <c r="D131" i="5"/>
  <c r="J131" i="5" s="1"/>
  <c r="P131" i="5" s="1"/>
  <c r="C131" i="5"/>
  <c r="C50" i="5"/>
  <c r="D50" i="5"/>
  <c r="J50" i="5" s="1"/>
  <c r="P50" i="5" s="1"/>
  <c r="D148" i="5"/>
  <c r="J148" i="5" s="1"/>
  <c r="P148" i="5" s="1"/>
  <c r="C148" i="5"/>
  <c r="C62" i="5"/>
  <c r="D62" i="5"/>
  <c r="J62" i="5" s="1"/>
  <c r="P62" i="5" s="1"/>
  <c r="D107" i="5"/>
  <c r="J107" i="5" s="1"/>
  <c r="P107" i="5" s="1"/>
  <c r="C107" i="5"/>
  <c r="C100" i="5"/>
  <c r="D100" i="5"/>
  <c r="J100" i="5" s="1"/>
  <c r="P100" i="5" s="1"/>
  <c r="C115" i="5"/>
  <c r="D115" i="5"/>
  <c r="J115" i="5" s="1"/>
  <c r="P115" i="5" s="1"/>
  <c r="C64" i="5"/>
  <c r="D64" i="5"/>
  <c r="J64" i="5" s="1"/>
  <c r="P64" i="5" s="1"/>
  <c r="D42" i="5"/>
  <c r="J42" i="5" s="1"/>
  <c r="P42" i="5" s="1"/>
  <c r="C42" i="5"/>
  <c r="D29" i="5"/>
  <c r="J29" i="5" s="1"/>
  <c r="P29" i="5" s="1"/>
  <c r="C29" i="5"/>
  <c r="D158" i="5"/>
  <c r="J158" i="5" s="1"/>
  <c r="P158" i="5" s="1"/>
  <c r="C158" i="5"/>
  <c r="D166" i="5"/>
  <c r="J166" i="5" s="1"/>
  <c r="P166" i="5" s="1"/>
  <c r="C166" i="5"/>
  <c r="D92" i="5"/>
  <c r="J92" i="5" s="1"/>
  <c r="P92" i="5" s="1"/>
  <c r="C92" i="5"/>
  <c r="D136" i="5"/>
  <c r="J136" i="5" s="1"/>
  <c r="P136" i="5" s="1"/>
  <c r="C136" i="5"/>
  <c r="D128" i="5"/>
  <c r="J128" i="5" s="1"/>
  <c r="P128" i="5" s="1"/>
  <c r="C128" i="5"/>
  <c r="C58" i="5"/>
  <c r="D58" i="5"/>
  <c r="J58" i="5" s="1"/>
  <c r="P58" i="5" s="1"/>
  <c r="C84" i="5"/>
  <c r="D84" i="5"/>
  <c r="J84" i="5" s="1"/>
  <c r="P84" i="5" s="1"/>
  <c r="C75" i="5"/>
  <c r="D75" i="5"/>
  <c r="J75" i="5" s="1"/>
  <c r="P75" i="5" s="1"/>
  <c r="D51" i="5"/>
  <c r="J51" i="5" s="1"/>
  <c r="P51" i="5" s="1"/>
  <c r="C51" i="5"/>
  <c r="D160" i="5"/>
  <c r="J160" i="5" s="1"/>
  <c r="P160" i="5" s="1"/>
  <c r="C160" i="5"/>
  <c r="C137" i="5"/>
  <c r="D137" i="5"/>
  <c r="J137" i="5" s="1"/>
  <c r="P137" i="5" s="1"/>
  <c r="D142" i="5"/>
  <c r="J142" i="5" s="1"/>
  <c r="P142" i="5" s="1"/>
  <c r="C142" i="5"/>
  <c r="D170" i="5"/>
  <c r="J170" i="5" s="1"/>
  <c r="P170" i="5" s="1"/>
  <c r="C170" i="5"/>
  <c r="D90" i="5"/>
  <c r="J90" i="5" s="1"/>
  <c r="P90" i="5" s="1"/>
  <c r="C90" i="5"/>
  <c r="C97" i="5"/>
  <c r="D97" i="5"/>
  <c r="J97" i="5" s="1"/>
  <c r="P97" i="5" s="1"/>
  <c r="D108" i="5"/>
  <c r="J108" i="5" s="1"/>
  <c r="P108" i="5" s="1"/>
  <c r="C108" i="5"/>
  <c r="D52" i="5"/>
  <c r="J52" i="5" s="1"/>
  <c r="P52" i="5" s="1"/>
  <c r="C52" i="5"/>
  <c r="C54" i="5"/>
  <c r="D54" i="5"/>
  <c r="J54" i="5" s="1"/>
  <c r="P54" i="5" s="1"/>
  <c r="C24" i="5"/>
  <c r="D24" i="5"/>
  <c r="J24" i="5" s="1"/>
  <c r="P24" i="5" s="1"/>
  <c r="D18" i="5"/>
  <c r="D23" i="5"/>
  <c r="C23" i="5"/>
  <c r="I15" i="5"/>
  <c r="D19" i="5"/>
  <c r="I52" i="5" l="1"/>
  <c r="H52" i="5"/>
  <c r="H92" i="5"/>
  <c r="I92" i="5"/>
  <c r="H158" i="5"/>
  <c r="I158" i="5"/>
  <c r="H42" i="5"/>
  <c r="I42" i="5"/>
  <c r="I107" i="5"/>
  <c r="H107" i="5"/>
  <c r="H131" i="5"/>
  <c r="I131" i="5"/>
  <c r="H123" i="5"/>
  <c r="I123" i="5"/>
  <c r="H31" i="5"/>
  <c r="I31" i="5"/>
  <c r="I36" i="5"/>
  <c r="H36" i="5"/>
  <c r="H82" i="5"/>
  <c r="I82" i="5"/>
  <c r="H80" i="5"/>
  <c r="I80" i="5"/>
  <c r="H126" i="5"/>
  <c r="I126" i="5"/>
  <c r="H91" i="5"/>
  <c r="I91" i="5"/>
  <c r="H165" i="5"/>
  <c r="I165" i="5"/>
  <c r="I59" i="5"/>
  <c r="H59" i="5"/>
  <c r="H37" i="5"/>
  <c r="I37" i="5"/>
  <c r="H125" i="5"/>
  <c r="I125" i="5"/>
  <c r="H144" i="5"/>
  <c r="I144" i="5"/>
  <c r="I115" i="5"/>
  <c r="H115" i="5"/>
  <c r="I93" i="5"/>
  <c r="H93" i="5"/>
  <c r="I69" i="5"/>
  <c r="H69" i="5"/>
  <c r="I113" i="5"/>
  <c r="H113" i="5"/>
  <c r="I101" i="5"/>
  <c r="H101" i="5"/>
  <c r="H129" i="5"/>
  <c r="I129" i="5"/>
  <c r="H157" i="5"/>
  <c r="I157" i="5"/>
  <c r="I67" i="5"/>
  <c r="H67" i="5"/>
  <c r="I48" i="5"/>
  <c r="H48" i="5"/>
  <c r="I155" i="5"/>
  <c r="H155" i="5"/>
  <c r="H145" i="5"/>
  <c r="I145" i="5"/>
  <c r="H76" i="5"/>
  <c r="I76" i="5"/>
  <c r="I85" i="5"/>
  <c r="H85" i="5"/>
  <c r="I147" i="5"/>
  <c r="H147" i="5"/>
  <c r="H78" i="5"/>
  <c r="I78" i="5"/>
  <c r="I72" i="5"/>
  <c r="H72" i="5"/>
  <c r="H149" i="5"/>
  <c r="I149" i="5"/>
  <c r="I68" i="5"/>
  <c r="H68" i="5"/>
  <c r="H114" i="5"/>
  <c r="I114" i="5"/>
  <c r="I66" i="5"/>
  <c r="H66" i="5"/>
  <c r="I109" i="5"/>
  <c r="H109" i="5"/>
  <c r="I46" i="5"/>
  <c r="H46" i="5"/>
  <c r="I105" i="5"/>
  <c r="H105" i="5"/>
  <c r="H141" i="5"/>
  <c r="I141" i="5"/>
  <c r="H86" i="5"/>
  <c r="I86" i="5"/>
  <c r="I71" i="5"/>
  <c r="H71" i="5"/>
  <c r="I108" i="5"/>
  <c r="H108" i="5"/>
  <c r="H90" i="5"/>
  <c r="I90" i="5"/>
  <c r="H142" i="5"/>
  <c r="I142" i="5"/>
  <c r="H160" i="5"/>
  <c r="I160" i="5"/>
  <c r="H136" i="5"/>
  <c r="I136" i="5"/>
  <c r="H166" i="5"/>
  <c r="I166" i="5"/>
  <c r="H29" i="5"/>
  <c r="I29" i="5"/>
  <c r="H47" i="5"/>
  <c r="I47" i="5"/>
  <c r="H106" i="5"/>
  <c r="I106" i="5"/>
  <c r="H27" i="5"/>
  <c r="I27" i="5"/>
  <c r="H140" i="5"/>
  <c r="I140" i="5"/>
  <c r="H150" i="5"/>
  <c r="I150" i="5"/>
  <c r="H49" i="5"/>
  <c r="I49" i="5"/>
  <c r="H116" i="5"/>
  <c r="I116" i="5"/>
  <c r="H154" i="5"/>
  <c r="I154" i="5"/>
  <c r="H168" i="5"/>
  <c r="I168" i="5"/>
  <c r="I81" i="5"/>
  <c r="H81" i="5"/>
  <c r="H152" i="5"/>
  <c r="I152" i="5"/>
  <c r="I55" i="5"/>
  <c r="H55" i="5"/>
  <c r="H43" i="5"/>
  <c r="I43" i="5"/>
  <c r="H118" i="5"/>
  <c r="I118" i="5"/>
  <c r="H171" i="5"/>
  <c r="I171" i="5"/>
  <c r="I53" i="5"/>
  <c r="H53" i="5"/>
  <c r="H132" i="5"/>
  <c r="I132" i="5"/>
  <c r="H25" i="5"/>
  <c r="I25" i="5"/>
  <c r="H172" i="5"/>
  <c r="I172" i="5"/>
  <c r="H151" i="5"/>
  <c r="I151" i="5"/>
  <c r="H88" i="5"/>
  <c r="I88" i="5"/>
  <c r="H130" i="5"/>
  <c r="I130" i="5"/>
  <c r="H96" i="5"/>
  <c r="I96" i="5"/>
  <c r="I65" i="5"/>
  <c r="H65" i="5"/>
  <c r="H134" i="5"/>
  <c r="I134" i="5"/>
  <c r="H39" i="5"/>
  <c r="I39" i="5"/>
  <c r="I103" i="5"/>
  <c r="H103" i="5"/>
  <c r="H34" i="5"/>
  <c r="I34" i="5"/>
  <c r="H124" i="5"/>
  <c r="I124" i="5"/>
  <c r="H121" i="5"/>
  <c r="I121" i="5"/>
  <c r="H156" i="5"/>
  <c r="I156" i="5"/>
  <c r="H146" i="5"/>
  <c r="I146" i="5"/>
  <c r="H41" i="5"/>
  <c r="I41" i="5"/>
  <c r="I87" i="5"/>
  <c r="H87" i="5"/>
  <c r="H162" i="5"/>
  <c r="I162" i="5"/>
  <c r="H94" i="5"/>
  <c r="I94" i="5"/>
  <c r="H102" i="5"/>
  <c r="I102" i="5"/>
  <c r="H164" i="5"/>
  <c r="I164" i="5"/>
  <c r="H170" i="5"/>
  <c r="I170" i="5"/>
  <c r="H51" i="5"/>
  <c r="I51" i="5"/>
  <c r="H128" i="5"/>
  <c r="I128" i="5"/>
  <c r="H148" i="5"/>
  <c r="I148" i="5"/>
  <c r="I44" i="5"/>
  <c r="H44" i="5"/>
  <c r="H33" i="5"/>
  <c r="I33" i="5"/>
  <c r="H45" i="5"/>
  <c r="I45" i="5"/>
  <c r="H112" i="5"/>
  <c r="I112" i="5"/>
  <c r="I63" i="5"/>
  <c r="H63" i="5"/>
  <c r="H122" i="5"/>
  <c r="I122" i="5"/>
  <c r="H104" i="5"/>
  <c r="I104" i="5"/>
  <c r="I83" i="5"/>
  <c r="H83" i="5"/>
  <c r="H138" i="5"/>
  <c r="I138" i="5"/>
  <c r="I167" i="5"/>
  <c r="H167" i="5"/>
  <c r="H35" i="5"/>
  <c r="I35" i="5"/>
  <c r="H120" i="5"/>
  <c r="I120" i="5"/>
  <c r="I74" i="5"/>
  <c r="H74" i="5"/>
  <c r="I77" i="5"/>
  <c r="H77" i="5"/>
  <c r="H173" i="5"/>
  <c r="I173" i="5"/>
  <c r="I24" i="5"/>
  <c r="H24" i="5"/>
  <c r="I97" i="5"/>
  <c r="H97" i="5"/>
  <c r="H137" i="5"/>
  <c r="I137" i="5"/>
  <c r="H84" i="5"/>
  <c r="I84" i="5"/>
  <c r="H169" i="5"/>
  <c r="I169" i="5"/>
  <c r="H139" i="5"/>
  <c r="I139" i="5"/>
  <c r="I30" i="5"/>
  <c r="H30" i="5"/>
  <c r="I56" i="5"/>
  <c r="H56" i="5"/>
  <c r="I89" i="5"/>
  <c r="H89" i="5"/>
  <c r="I57" i="5"/>
  <c r="H57" i="5"/>
  <c r="I111" i="5"/>
  <c r="H111" i="5"/>
  <c r="H40" i="5"/>
  <c r="I40" i="5"/>
  <c r="H54" i="5"/>
  <c r="I54" i="5"/>
  <c r="I75" i="5"/>
  <c r="H75" i="5"/>
  <c r="H58" i="5"/>
  <c r="I58" i="5"/>
  <c r="H64" i="5"/>
  <c r="I64" i="5"/>
  <c r="H100" i="5"/>
  <c r="I100" i="5"/>
  <c r="H62" i="5"/>
  <c r="I62" i="5"/>
  <c r="H50" i="5"/>
  <c r="I50" i="5"/>
  <c r="H119" i="5"/>
  <c r="I119" i="5"/>
  <c r="I32" i="5"/>
  <c r="H32" i="5"/>
  <c r="H38" i="5"/>
  <c r="I38" i="5"/>
  <c r="I79" i="5"/>
  <c r="H79" i="5"/>
  <c r="I117" i="5"/>
  <c r="H117" i="5"/>
  <c r="I73" i="5"/>
  <c r="H73" i="5"/>
  <c r="H143" i="5"/>
  <c r="I143" i="5"/>
  <c r="H110" i="5"/>
  <c r="I110" i="5"/>
  <c r="H153" i="5"/>
  <c r="I153" i="5"/>
  <c r="I70" i="5"/>
  <c r="H70" i="5"/>
  <c r="H163" i="5"/>
  <c r="I163" i="5"/>
  <c r="I61" i="5"/>
  <c r="H61" i="5"/>
  <c r="H98" i="5"/>
  <c r="I98" i="5"/>
  <c r="I26" i="5"/>
  <c r="H26" i="5"/>
  <c r="H161" i="5"/>
  <c r="I161" i="5"/>
  <c r="H127" i="5"/>
  <c r="I127" i="5"/>
  <c r="H159" i="5"/>
  <c r="I159" i="5"/>
  <c r="I99" i="5"/>
  <c r="H99" i="5"/>
  <c r="H135" i="5"/>
  <c r="I135" i="5"/>
  <c r="I60" i="5"/>
  <c r="H60" i="5"/>
  <c r="I95" i="5"/>
  <c r="H95" i="5"/>
  <c r="I28" i="5"/>
  <c r="H28" i="5"/>
  <c r="H133" i="5"/>
  <c r="I133" i="5"/>
  <c r="AA77" i="5"/>
  <c r="AC77" i="5" s="1"/>
  <c r="AA76" i="5"/>
  <c r="AC76" i="5" s="1"/>
  <c r="H23" i="5"/>
  <c r="Y76" i="5"/>
  <c r="Z76" i="5" s="1"/>
  <c r="C19" i="1" s="1"/>
  <c r="I23" i="5"/>
  <c r="J23" i="5"/>
  <c r="P23" i="5" s="1"/>
  <c r="AE77" i="5" s="1"/>
  <c r="Y77" i="5"/>
  <c r="Z77" i="5" s="1"/>
  <c r="N133" i="5" l="1"/>
  <c r="O133" i="5"/>
  <c r="N135" i="5"/>
  <c r="O135" i="5"/>
  <c r="N159" i="5"/>
  <c r="O159" i="5"/>
  <c r="N161" i="5"/>
  <c r="O161" i="5"/>
  <c r="O98" i="5"/>
  <c r="N98" i="5"/>
  <c r="N163" i="5"/>
  <c r="O163" i="5"/>
  <c r="N153" i="5"/>
  <c r="O153" i="5"/>
  <c r="N143" i="5"/>
  <c r="O143" i="5"/>
  <c r="N38" i="5"/>
  <c r="O38" i="5"/>
  <c r="N119" i="5"/>
  <c r="O119" i="5"/>
  <c r="O62" i="5"/>
  <c r="N62" i="5"/>
  <c r="O64" i="5"/>
  <c r="N64" i="5"/>
  <c r="N40" i="5"/>
  <c r="O40" i="5"/>
  <c r="N139" i="5"/>
  <c r="O139" i="5"/>
  <c r="O84" i="5"/>
  <c r="N84" i="5"/>
  <c r="N173" i="5"/>
  <c r="O173" i="5"/>
  <c r="N35" i="5"/>
  <c r="O35" i="5"/>
  <c r="N138" i="5"/>
  <c r="O138" i="5"/>
  <c r="O104" i="5"/>
  <c r="N104" i="5"/>
  <c r="N45" i="5"/>
  <c r="O45" i="5"/>
  <c r="N128" i="5"/>
  <c r="O128" i="5"/>
  <c r="N170" i="5"/>
  <c r="O170" i="5"/>
  <c r="N102" i="5"/>
  <c r="O102" i="5"/>
  <c r="N162" i="5"/>
  <c r="O162" i="5"/>
  <c r="N41" i="5"/>
  <c r="O41" i="5"/>
  <c r="O156" i="5"/>
  <c r="N156" i="5"/>
  <c r="O124" i="5"/>
  <c r="N124" i="5"/>
  <c r="N134" i="5"/>
  <c r="O134" i="5"/>
  <c r="O96" i="5"/>
  <c r="N96" i="5"/>
  <c r="O88" i="5"/>
  <c r="N88" i="5"/>
  <c r="N172" i="5"/>
  <c r="O172" i="5"/>
  <c r="O132" i="5"/>
  <c r="N132" i="5"/>
  <c r="N171" i="5"/>
  <c r="O171" i="5"/>
  <c r="O43" i="5"/>
  <c r="N43" i="5"/>
  <c r="O152" i="5"/>
  <c r="N152" i="5"/>
  <c r="N168" i="5"/>
  <c r="O168" i="5"/>
  <c r="N116" i="5"/>
  <c r="O116" i="5"/>
  <c r="N150" i="5"/>
  <c r="O150" i="5"/>
  <c r="N27" i="5"/>
  <c r="O27" i="5"/>
  <c r="O47" i="5"/>
  <c r="N47" i="5"/>
  <c r="N166" i="5"/>
  <c r="O166" i="5"/>
  <c r="O160" i="5"/>
  <c r="N160" i="5"/>
  <c r="O90" i="5"/>
  <c r="N90" i="5"/>
  <c r="N141" i="5"/>
  <c r="O141" i="5"/>
  <c r="O76" i="5"/>
  <c r="N76" i="5"/>
  <c r="N129" i="5"/>
  <c r="O129" i="5"/>
  <c r="N144" i="5"/>
  <c r="O144" i="5"/>
  <c r="N37" i="5"/>
  <c r="O37" i="5"/>
  <c r="N165" i="5"/>
  <c r="O165" i="5"/>
  <c r="N126" i="5"/>
  <c r="O126" i="5"/>
  <c r="O82" i="5"/>
  <c r="N82" i="5"/>
  <c r="O31" i="5"/>
  <c r="N31" i="5"/>
  <c r="N131" i="5"/>
  <c r="O131" i="5"/>
  <c r="N42" i="5"/>
  <c r="O42" i="5"/>
  <c r="O92" i="5"/>
  <c r="N92" i="5"/>
  <c r="N95" i="5"/>
  <c r="O95" i="5"/>
  <c r="N117" i="5"/>
  <c r="O117" i="5"/>
  <c r="O75" i="5"/>
  <c r="N75" i="5"/>
  <c r="O57" i="5"/>
  <c r="N57" i="5"/>
  <c r="N56" i="5"/>
  <c r="O56" i="5"/>
  <c r="N97" i="5"/>
  <c r="O97" i="5"/>
  <c r="O74" i="5"/>
  <c r="N74" i="5"/>
  <c r="O63" i="5"/>
  <c r="N63" i="5"/>
  <c r="N44" i="5"/>
  <c r="O44" i="5"/>
  <c r="N103" i="5"/>
  <c r="O103" i="5"/>
  <c r="N71" i="5"/>
  <c r="O71" i="5"/>
  <c r="O46" i="5"/>
  <c r="N46" i="5"/>
  <c r="O66" i="5"/>
  <c r="N66" i="5"/>
  <c r="O68" i="5"/>
  <c r="N68" i="5"/>
  <c r="O72" i="5"/>
  <c r="N72" i="5"/>
  <c r="N147" i="5"/>
  <c r="O147" i="5"/>
  <c r="N155" i="5"/>
  <c r="O155" i="5"/>
  <c r="O67" i="5"/>
  <c r="N67" i="5"/>
  <c r="N113" i="5"/>
  <c r="O113" i="5"/>
  <c r="N93" i="5"/>
  <c r="O93" i="5"/>
  <c r="N127" i="5"/>
  <c r="O127" i="5"/>
  <c r="O110" i="5"/>
  <c r="N110" i="5"/>
  <c r="N50" i="5"/>
  <c r="O50" i="5"/>
  <c r="O100" i="5"/>
  <c r="N100" i="5"/>
  <c r="O58" i="5"/>
  <c r="N58" i="5"/>
  <c r="O54" i="5"/>
  <c r="N54" i="5"/>
  <c r="N169" i="5"/>
  <c r="O169" i="5"/>
  <c r="N137" i="5"/>
  <c r="O137" i="5"/>
  <c r="N120" i="5"/>
  <c r="O120" i="5"/>
  <c r="N122" i="5"/>
  <c r="O122" i="5"/>
  <c r="O112" i="5"/>
  <c r="N112" i="5"/>
  <c r="O33" i="5"/>
  <c r="N33" i="5"/>
  <c r="O148" i="5"/>
  <c r="N148" i="5"/>
  <c r="N51" i="5"/>
  <c r="O51" i="5"/>
  <c r="N164" i="5"/>
  <c r="O164" i="5"/>
  <c r="O94" i="5"/>
  <c r="N94" i="5"/>
  <c r="N146" i="5"/>
  <c r="O146" i="5"/>
  <c r="N121" i="5"/>
  <c r="O121" i="5"/>
  <c r="N34" i="5"/>
  <c r="O34" i="5"/>
  <c r="O39" i="5"/>
  <c r="N39" i="5"/>
  <c r="N130" i="5"/>
  <c r="O130" i="5"/>
  <c r="N151" i="5"/>
  <c r="O151" i="5"/>
  <c r="N25" i="5"/>
  <c r="O25" i="5"/>
  <c r="N118" i="5"/>
  <c r="O118" i="5"/>
  <c r="N154" i="5"/>
  <c r="O154" i="5"/>
  <c r="O49" i="5"/>
  <c r="N49" i="5"/>
  <c r="O140" i="5"/>
  <c r="N140" i="5"/>
  <c r="O106" i="5"/>
  <c r="N106" i="5"/>
  <c r="N29" i="5"/>
  <c r="O29" i="5"/>
  <c r="N136" i="5"/>
  <c r="O136" i="5"/>
  <c r="N142" i="5"/>
  <c r="O142" i="5"/>
  <c r="O86" i="5"/>
  <c r="N86" i="5"/>
  <c r="O114" i="5"/>
  <c r="N114" i="5"/>
  <c r="N149" i="5"/>
  <c r="O149" i="5"/>
  <c r="O78" i="5"/>
  <c r="N78" i="5"/>
  <c r="N145" i="5"/>
  <c r="O145" i="5"/>
  <c r="N157" i="5"/>
  <c r="O157" i="5"/>
  <c r="N125" i="5"/>
  <c r="O125" i="5"/>
  <c r="N91" i="5"/>
  <c r="O91" i="5"/>
  <c r="O80" i="5"/>
  <c r="N80" i="5"/>
  <c r="N123" i="5"/>
  <c r="O123" i="5"/>
  <c r="N158" i="5"/>
  <c r="O158" i="5"/>
  <c r="N28" i="5"/>
  <c r="O28" i="5"/>
  <c r="O60" i="5"/>
  <c r="N60" i="5"/>
  <c r="N99" i="5"/>
  <c r="O99" i="5"/>
  <c r="N26" i="5"/>
  <c r="O26" i="5"/>
  <c r="N61" i="5"/>
  <c r="O61" i="5"/>
  <c r="O70" i="5"/>
  <c r="N70" i="5"/>
  <c r="N73" i="5"/>
  <c r="O73" i="5"/>
  <c r="N79" i="5"/>
  <c r="O79" i="5"/>
  <c r="N32" i="5"/>
  <c r="O32" i="5"/>
  <c r="N111" i="5"/>
  <c r="O111" i="5"/>
  <c r="N89" i="5"/>
  <c r="O89" i="5"/>
  <c r="N30" i="5"/>
  <c r="O30" i="5"/>
  <c r="N24" i="5"/>
  <c r="O24" i="5"/>
  <c r="O77" i="5"/>
  <c r="N77" i="5"/>
  <c r="N167" i="5"/>
  <c r="O167" i="5"/>
  <c r="N83" i="5"/>
  <c r="O83" i="5"/>
  <c r="N87" i="5"/>
  <c r="O87" i="5"/>
  <c r="O65" i="5"/>
  <c r="N65" i="5"/>
  <c r="N53" i="5"/>
  <c r="O53" i="5"/>
  <c r="O55" i="5"/>
  <c r="N55" i="5"/>
  <c r="N81" i="5"/>
  <c r="O81" i="5"/>
  <c r="O108" i="5"/>
  <c r="N108" i="5"/>
  <c r="N105" i="5"/>
  <c r="O105" i="5"/>
  <c r="N109" i="5"/>
  <c r="O109" i="5"/>
  <c r="N85" i="5"/>
  <c r="O85" i="5"/>
  <c r="N48" i="5"/>
  <c r="O48" i="5"/>
  <c r="N101" i="5"/>
  <c r="O101" i="5"/>
  <c r="O69" i="5"/>
  <c r="N69" i="5"/>
  <c r="N115" i="5"/>
  <c r="O115" i="5"/>
  <c r="O59" i="5"/>
  <c r="N59" i="5"/>
  <c r="N36" i="5"/>
  <c r="O36" i="5"/>
  <c r="N107" i="5"/>
  <c r="O107" i="5"/>
  <c r="O52" i="5"/>
  <c r="N52" i="5"/>
  <c r="Y113" i="5"/>
  <c r="AA113" i="5" s="1"/>
  <c r="C21" i="1"/>
  <c r="D21" i="1" s="1"/>
  <c r="Y112" i="5"/>
  <c r="AA112" i="5" s="1"/>
  <c r="N23" i="5"/>
  <c r="O23" i="5"/>
  <c r="AE76" i="5" l="1"/>
  <c r="F20" i="1" s="1"/>
  <c r="G20" i="1" s="1"/>
  <c r="D19" i="1"/>
  <c r="Q18" i="1" s="1"/>
  <c r="C25" i="1"/>
  <c r="C27" i="1" s="1"/>
  <c r="AI76" i="5" l="1"/>
  <c r="F19" i="1" s="1"/>
  <c r="AF76" i="5"/>
  <c r="G19" i="1" l="1"/>
  <c r="Q20" i="1"/>
  <c r="AF77" i="5" s="1"/>
  <c r="F21" i="1"/>
  <c r="G21" i="1" s="1"/>
  <c r="G25" i="1" l="1"/>
  <c r="G27" i="1" s="1"/>
  <c r="E30" i="1" s="1"/>
</calcChain>
</file>

<file path=xl/sharedStrings.xml><?xml version="1.0" encoding="utf-8"?>
<sst xmlns="http://schemas.openxmlformats.org/spreadsheetml/2006/main" count="677" uniqueCount="638">
  <si>
    <t xml:space="preserve"> </t>
  </si>
  <si>
    <t>I.  TAX RATE SUMMARY</t>
  </si>
  <si>
    <t>$</t>
  </si>
  <si>
    <t xml:space="preserve">     Ic. Tax levy (Ia minus Ib)</t>
  </si>
  <si>
    <t xml:space="preserve">     Id. Distribution of Tax Rates and levies </t>
  </si>
  <si>
    <t xml:space="preserve"> ( b )</t>
  </si>
  <si>
    <t>( c )</t>
  </si>
  <si>
    <t>( d )</t>
  </si>
  <si>
    <t>( e )</t>
  </si>
  <si>
    <t>( f )</t>
  </si>
  <si>
    <t>CLASS</t>
  </si>
  <si>
    <t>IC above times         each percent                    in col (b)</t>
  </si>
  <si>
    <t>Tax Rates               (c) / (d) x 1000</t>
  </si>
  <si>
    <t xml:space="preserve">  Residential</t>
  </si>
  <si>
    <t xml:space="preserve">  Open Space</t>
  </si>
  <si>
    <t xml:space="preserve">  Commercial</t>
  </si>
  <si>
    <t xml:space="preserve">  Industrial</t>
  </si>
  <si>
    <t xml:space="preserve">  SUBTOTAL</t>
  </si>
  <si>
    <t xml:space="preserve">  Personal</t>
  </si>
  <si>
    <t xml:space="preserve">  TOTAL</t>
  </si>
  <si>
    <t>TAX RATE RECAP &amp; BUDGETING TOOL</t>
  </si>
  <si>
    <t>City/Town/District of:</t>
  </si>
  <si>
    <t>Fiscal Year:</t>
  </si>
  <si>
    <t>DIVISION OF LOCAL SERVICES</t>
  </si>
  <si>
    <t>II.  Amounts to be raised</t>
  </si>
  <si>
    <t>IIb. Other amounts to be raised</t>
  </si>
  <si>
    <t xml:space="preserve"> 1. Amounts certified for tax title purposes</t>
  </si>
  <si>
    <t xml:space="preserve"> 2. Debt and interest charges not included on page 4</t>
  </si>
  <si>
    <t xml:space="preserve"> 5. Total cherry sheet offsets (see cherry sheet 1-ER)</t>
  </si>
  <si>
    <t xml:space="preserve"> 6. Revenue deficits</t>
  </si>
  <si>
    <t xml:space="preserve"> 7. Offset receipts deficits Ch. 44, Sec. 53E</t>
  </si>
  <si>
    <t xml:space="preserve"> 8. CPA other unappropriated/unreserved</t>
  </si>
  <si>
    <t xml:space="preserve"> 9. Snow and ice deficit Ch. 44  Sec. 31D</t>
  </si>
  <si>
    <t xml:space="preserve">     TOTAL IIb (Total lines 1 through 10)</t>
  </si>
  <si>
    <t>IIc. State and county cherry sheet charge  (C.S. 1-EC)</t>
  </si>
  <si>
    <t>IId. Allowance for abatements and exemptions (overlay)</t>
  </si>
  <si>
    <t>IIe. Total amount to be raised (Total IIa through IId)</t>
  </si>
  <si>
    <t>III. Estimated receipts and other revenue sources</t>
  </si>
  <si>
    <t>IIIa. Estimated receipts - State</t>
  </si>
  <si>
    <t xml:space="preserve">    1.  Cherry sheet estimated receipts (C.S. 1-ER Total)</t>
  </si>
  <si>
    <t>TOTAL IIIa</t>
  </si>
  <si>
    <t>IIIb. Estimated receipts - Local</t>
  </si>
  <si>
    <t xml:space="preserve">    1.  Local receipts not allocated (Page 3, col. (b), Line 24)</t>
  </si>
  <si>
    <t xml:space="preserve">    2.  Offset receipts (See Schedule A-1)</t>
  </si>
  <si>
    <t xml:space="preserve">    3.  Enterprise funds (See Schedule A-2)</t>
  </si>
  <si>
    <t>TOTAL IIIb</t>
  </si>
  <si>
    <t>IIIc. Revenue sources appropriated for particular purposes</t>
  </si>
  <si>
    <t xml:space="preserve">    1.  Free cash (Page 4, col. (c))</t>
  </si>
  <si>
    <t xml:space="preserve">    2.  Other available funds (Page 4, col. (d) )</t>
  </si>
  <si>
    <t>TOTAL IIIc</t>
  </si>
  <si>
    <t>IIId. Other revenue sources appropriated specifically to reduce the tax rate</t>
  </si>
  <si>
    <t>TOTAL IIId</t>
  </si>
  <si>
    <t>IIIe. Total estimated receipts and other revenue sources</t>
  </si>
  <si>
    <t>IV. Summary of total amount to be raised and total receipts from all sources</t>
  </si>
  <si>
    <t>a.  Total amount to be raised (from IIe)</t>
  </si>
  <si>
    <t>c.  Total real and personal property tax levy (from Ic)</t>
  </si>
  <si>
    <t>d.  Total receipts from all sources (total IVb plus IVc)</t>
  </si>
  <si>
    <t>(a)</t>
  </si>
  <si>
    <t>(b)</t>
  </si>
  <si>
    <t>Actual</t>
  </si>
  <si>
    <t>Receipts</t>
  </si>
  <si>
    <t xml:space="preserve"> 1.  Motor vehicle excise</t>
  </si>
  <si>
    <t xml:space="preserve"> $</t>
  </si>
  <si>
    <t xml:space="preserve"> 2.  Other excise </t>
  </si>
  <si>
    <t xml:space="preserve"> 3.  Penalties and interest on taxes and excises</t>
  </si>
  <si>
    <t xml:space="preserve"> 4.  Payments in lieu of taxes</t>
  </si>
  <si>
    <t xml:space="preserve"> 5.  Charges for Services - water</t>
  </si>
  <si>
    <t xml:space="preserve"> 6.  Charges for Services - sewer</t>
  </si>
  <si>
    <t xml:space="preserve"> 7.  Charges for Services - hospital</t>
  </si>
  <si>
    <t xml:space="preserve"> 9.  Other charges for services</t>
  </si>
  <si>
    <t>10.  Fees</t>
  </si>
  <si>
    <t>11.  Rentals</t>
  </si>
  <si>
    <t>12.  Departmental revenue - Schools</t>
  </si>
  <si>
    <t>13.  Departmental revenue - Libraries</t>
  </si>
  <si>
    <t>14.  Departmental revenue - Cemeteries</t>
  </si>
  <si>
    <t>15.  Departmental revenue - Recreation</t>
  </si>
  <si>
    <t>16.  Other departmental revenue</t>
  </si>
  <si>
    <t>17.  Licenses and permits</t>
  </si>
  <si>
    <t>18.  Special assessments</t>
  </si>
  <si>
    <t>19.  Fines and forfeits</t>
  </si>
  <si>
    <t>20.  Investment income</t>
  </si>
  <si>
    <t>21.  Medicaid Reimbursement</t>
  </si>
  <si>
    <t>22.  Miscellaneous recurring (please specify)</t>
  </si>
  <si>
    <t>23.  Miscellaneous non-recurring (please specify)</t>
  </si>
  <si>
    <t>24. TOTALS</t>
  </si>
  <si>
    <t>*</t>
  </si>
  <si>
    <t xml:space="preserve">Do not include receipts in columns (a) or (b) that were voted by the City/Town/District Council or Town </t>
  </si>
  <si>
    <t>Meeting as offset receipts on Schedule A-1, enterprise funds on Schedule A-2, or revolving funds on</t>
  </si>
  <si>
    <t xml:space="preserve">Schedule A-3.  Written documentation must be submitted to support increases / decreases of </t>
  </si>
  <si>
    <t>estimated receipts to actual receipts.</t>
  </si>
  <si>
    <t>CERTIFICATION OF APPROPRIATIONS AND SOURCES OF FUNDING</t>
  </si>
  <si>
    <t xml:space="preserve"> AUTHORIZATIONS</t>
  </si>
  <si>
    <t>APPROPRIATIONS</t>
  </si>
  <si>
    <t>MEMO ONLY</t>
  </si>
  <si>
    <t>(c)</t>
  </si>
  <si>
    <t>(d)</t>
  </si>
  <si>
    <t>(e)</t>
  </si>
  <si>
    <t>(f)</t>
  </si>
  <si>
    <t>(g)</t>
  </si>
  <si>
    <t>(h)</t>
  </si>
  <si>
    <t>(i)</t>
  </si>
  <si>
    <t>**</t>
  </si>
  <si>
    <t xml:space="preserve">From </t>
  </si>
  <si>
    <t>***</t>
  </si>
  <si>
    <t>Total</t>
  </si>
  <si>
    <t>From</t>
  </si>
  <si>
    <t>Other</t>
  </si>
  <si>
    <t>Community</t>
  </si>
  <si>
    <t>Appropriations</t>
  </si>
  <si>
    <t>Available</t>
  </si>
  <si>
    <t>Revolving</t>
  </si>
  <si>
    <t>Borrowing</t>
  </si>
  <si>
    <t>Meeting</t>
  </si>
  <si>
    <t>FY*</t>
  </si>
  <si>
    <t>Of Each</t>
  </si>
  <si>
    <t>Appropriate</t>
  </si>
  <si>
    <t>Cash</t>
  </si>
  <si>
    <t>Funds</t>
  </si>
  <si>
    <t>Authorization</t>
  </si>
  <si>
    <t>Totals</t>
  </si>
  <si>
    <t>Must Equal              Cols. (b) thru (e)</t>
  </si>
  <si>
    <t xml:space="preserve"> *  Enter the fiscal year to which the appropriation relates, i.e., current fiscal year or next fiscal year.</t>
  </si>
  <si>
    <t xml:space="preserve"> ** Appropriations included in column (b) must not be reduced by local receipts or any other funding source.</t>
  </si>
  <si>
    <t xml:space="preserve">    Appropriations must be entered gross to avoid a duplication in the use of estimated or other sources of receipts.</t>
  </si>
  <si>
    <t>*** Include only revolving funds pursuant to Chapter 44, Section 53 E 1/2.</t>
  </si>
  <si>
    <t>PAGE 4</t>
  </si>
  <si>
    <t>PAGE 3</t>
  </si>
  <si>
    <t>LOCAL RECEIPTS NOT ALLOCATED *</t>
  </si>
  <si>
    <t>a.  Meals</t>
  </si>
  <si>
    <t>b.  Room</t>
  </si>
  <si>
    <t>c.  Other</t>
  </si>
  <si>
    <t>d.  Cannabis</t>
  </si>
  <si>
    <t>Estimated</t>
  </si>
  <si>
    <t>PAGE 2</t>
  </si>
  <si>
    <t>(Total IIIa through IIId)</t>
  </si>
  <si>
    <t>b.  Total estimated receipts and other revenue sources (from IIIe)</t>
  </si>
  <si>
    <t>10. Other:</t>
  </si>
  <si>
    <t xml:space="preserve">% </t>
  </si>
  <si>
    <t>Residential Exemption</t>
  </si>
  <si>
    <t>Small Commercial Exemption</t>
  </si>
  <si>
    <t>Residential</t>
  </si>
  <si>
    <t># Eligible Parcels</t>
  </si>
  <si>
    <t>Open Space</t>
  </si>
  <si>
    <t>Res Parcel Count</t>
  </si>
  <si>
    <t>Commercial</t>
  </si>
  <si>
    <t>Res Exemption %</t>
  </si>
  <si>
    <t>Com Exemption %</t>
  </si>
  <si>
    <t>Industrial</t>
  </si>
  <si>
    <t xml:space="preserve">  C I P %</t>
  </si>
  <si>
    <t xml:space="preserve">Total  </t>
  </si>
  <si>
    <t xml:space="preserve">Single Tax Rate  </t>
  </si>
  <si>
    <t>CIP Shift</t>
  </si>
  <si>
    <t>Res Factor</t>
  </si>
  <si>
    <t>Share Percentages</t>
  </si>
  <si>
    <t xml:space="preserve">     Levy Amounts</t>
  </si>
  <si>
    <t>Estimated Tax Rates</t>
  </si>
  <si>
    <t>Res</t>
  </si>
  <si>
    <t xml:space="preserve">O S </t>
  </si>
  <si>
    <t>Com</t>
  </si>
  <si>
    <t>Ind</t>
  </si>
  <si>
    <t>PP</t>
  </si>
  <si>
    <t xml:space="preserve">Res </t>
  </si>
  <si>
    <t>O S</t>
  </si>
  <si>
    <t xml:space="preserve">Com </t>
  </si>
  <si>
    <t xml:space="preserve">Ind </t>
  </si>
  <si>
    <t>Tax Rate Options and Shifts</t>
  </si>
  <si>
    <t>`</t>
  </si>
  <si>
    <t>valres</t>
  </si>
  <si>
    <t>valos</t>
  </si>
  <si>
    <t>valcom</t>
  </si>
  <si>
    <t>valind</t>
  </si>
  <si>
    <t>valpp</t>
  </si>
  <si>
    <t>optionresex</t>
  </si>
  <si>
    <t>exemrespct</t>
  </si>
  <si>
    <t/>
  </si>
  <si>
    <t>exemcompct</t>
  </si>
  <si>
    <t>exemcinew</t>
  </si>
  <si>
    <t>RANGE NAME</t>
  </si>
  <si>
    <t>Options MRF</t>
  </si>
  <si>
    <t>175% Shift</t>
  </si>
  <si>
    <t>Truelow</t>
  </si>
  <si>
    <t>This is from Chapter 200 spreadsheet define.</t>
  </si>
  <si>
    <t>Equals Gateway Options Table,</t>
  </si>
  <si>
    <t>Max Shift Allowed, See Gateway:</t>
  </si>
  <si>
    <t>exemcom</t>
  </si>
  <si>
    <t>exemco</t>
  </si>
  <si>
    <t xml:space="preserve"> exemcomel</t>
  </si>
  <si>
    <t>PAGE 1</t>
  </si>
  <si>
    <t>Residential  %</t>
  </si>
  <si>
    <t>Open Space %</t>
  </si>
  <si>
    <t>Commercial %</t>
  </si>
  <si>
    <t>Industrial %</t>
  </si>
  <si>
    <t>Personal Property%</t>
  </si>
  <si>
    <t>Percentage 4</t>
  </si>
  <si>
    <t>number 4</t>
  </si>
  <si>
    <t>Shift</t>
  </si>
  <si>
    <t>No Shift</t>
  </si>
  <si>
    <t>Tax Rate</t>
  </si>
  <si>
    <t>Residential Factor Selected:</t>
  </si>
  <si>
    <t>or</t>
  </si>
  <si>
    <t>From Raise and</t>
  </si>
  <si>
    <t>From Free</t>
  </si>
  <si>
    <t>From Other</t>
  </si>
  <si>
    <t>From Offset</t>
  </si>
  <si>
    <t>Receipts,</t>
  </si>
  <si>
    <t>Departmental</t>
  </si>
  <si>
    <t xml:space="preserve">       a. Cannabis Impact Fee</t>
  </si>
  <si>
    <t>IIa. Appropriations (col. (b) through col. (g) from Page 4)</t>
  </si>
  <si>
    <t xml:space="preserve"> 3. Final awards</t>
  </si>
  <si>
    <t xml:space="preserve">    2.  Massachusetts school building authority payments</t>
  </si>
  <si>
    <t xml:space="preserve">    4.  Community Preservation Funds (See Schedule A-4)</t>
  </si>
  <si>
    <t xml:space="preserve"> 1. a.     Free cash..appropriated on or  before June 30, </t>
  </si>
  <si>
    <t xml:space="preserve"> 3.    Other source :</t>
  </si>
  <si>
    <t>Enterprise Funds</t>
  </si>
  <si>
    <t>Preservation Funds</t>
  </si>
  <si>
    <t>City/Town Council</t>
  </si>
  <si>
    <t>Town Meeting Dates</t>
  </si>
  <si>
    <t>Personal Property</t>
  </si>
  <si>
    <t xml:space="preserve">  R O %</t>
  </si>
  <si>
    <t>Total Res Value Net of Exemption</t>
  </si>
  <si>
    <t>Total Value of Eligible Parcels</t>
  </si>
  <si>
    <t>Total C &amp; I Value Net of Exemption</t>
  </si>
  <si>
    <t>Levy by class               (d) x (e) /  1000</t>
  </si>
  <si>
    <t xml:space="preserve">  Net of Exempt</t>
  </si>
  <si>
    <t xml:space="preserve"> 8.  Charges for Services - solid waste fees</t>
  </si>
  <si>
    <t>Total Value to be Exempt</t>
  </si>
  <si>
    <t xml:space="preserve">CIP Shift </t>
  </si>
  <si>
    <t>Written documentation must be submitted to support increases/decreases of current year estimated receipts</t>
  </si>
  <si>
    <t>to prior year estimated receipts to be used in calculating the municipal revenue growth factor.</t>
  </si>
  <si>
    <t>(B-1)</t>
  </si>
  <si>
    <t xml:space="preserve"> (B-2)</t>
  </si>
  <si>
    <t>( A-1)</t>
  </si>
  <si>
    <t>(A-2)</t>
  </si>
  <si>
    <t>(A-4)</t>
  </si>
  <si>
    <t xml:space="preserve"> 1. b.     Free cash..appropriated on or  after July 1, </t>
  </si>
  <si>
    <t>nshiftr</t>
  </si>
  <si>
    <t>nshiftos</t>
  </si>
  <si>
    <t>OS</t>
  </si>
  <si>
    <t>Comm</t>
  </si>
  <si>
    <t>nshiftind</t>
  </si>
  <si>
    <t>nshiftper</t>
  </si>
  <si>
    <t>Per</t>
  </si>
  <si>
    <t>nshiftcom</t>
  </si>
  <si>
    <t>pp</t>
  </si>
  <si>
    <t>resrate</t>
  </si>
  <si>
    <t>comrate</t>
  </si>
  <si>
    <t>Estimated Levy</t>
  </si>
  <si>
    <t>Selected O S Discount %</t>
  </si>
  <si>
    <t>OS Factor</t>
  </si>
  <si>
    <t>Open Space Discount</t>
  </si>
  <si>
    <t>FOR BUDGET PLANNING PURPOSES</t>
  </si>
  <si>
    <t>I.</t>
  </si>
  <si>
    <r>
      <t>B.    ADD  (</t>
    </r>
    <r>
      <rPr>
        <sz val="11"/>
        <rFont val="Times New Roman"/>
        <family val="1"/>
      </rPr>
      <t xml:space="preserve"> I</t>
    </r>
    <r>
      <rPr>
        <sz val="11"/>
        <rFont val="Arial"/>
        <family val="2"/>
      </rPr>
      <t>A +</t>
    </r>
    <r>
      <rPr>
        <sz val="11"/>
        <rFont val="Times New Roman"/>
        <family val="1"/>
      </rPr>
      <t xml:space="preserve"> I</t>
    </r>
    <r>
      <rPr>
        <sz val="11"/>
        <rFont val="Arial"/>
        <family val="2"/>
      </rPr>
      <t xml:space="preserve">A1 ) X 2.5%  </t>
    </r>
  </si>
  <si>
    <t>II.</t>
  </si>
  <si>
    <r>
      <t xml:space="preserve">B.    ADD  ( </t>
    </r>
    <r>
      <rPr>
        <sz val="11"/>
        <rFont val="Times New Roman"/>
        <family val="1"/>
      </rPr>
      <t>II</t>
    </r>
    <r>
      <rPr>
        <sz val="11"/>
        <rFont val="Arial"/>
        <family val="2"/>
      </rPr>
      <t xml:space="preserve">A + </t>
    </r>
    <r>
      <rPr>
        <sz val="11"/>
        <rFont val="Times New Roman"/>
        <family val="1"/>
      </rPr>
      <t>II</t>
    </r>
    <r>
      <rPr>
        <sz val="11"/>
        <rFont val="Arial"/>
        <family val="2"/>
      </rPr>
      <t xml:space="preserve">A1 ) X 2.5%  </t>
    </r>
  </si>
  <si>
    <t>III.</t>
  </si>
  <si>
    <t>COMMUNITY</t>
  </si>
  <si>
    <t>JUR</t>
  </si>
  <si>
    <t>FY15 LEVY LIMIT</t>
  </si>
  <si>
    <t>FY15 AMEND NEW GROWTH</t>
  </si>
  <si>
    <t>FY16 NEW GROWTH</t>
  </si>
  <si>
    <t>FY16 OVERRIDE</t>
  </si>
  <si>
    <t>FY16 TOTAL VALUE</t>
  </si>
  <si>
    <t>FY16 LEVY CEILING</t>
  </si>
  <si>
    <t>FY16 NEW GROWTH ADJ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</si>
  <si>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</si>
  <si>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</si>
  <si>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</si>
  <si>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</si>
  <si>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</si>
  <si>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</si>
  <si>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</si>
  <si>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</si>
  <si>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</si>
  <si>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</si>
  <si>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</si>
  <si>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</si>
  <si>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</si>
  <si>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</si>
  <si>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</si>
  <si>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</si>
  <si>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</si>
  <si>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</si>
  <si>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</si>
  <si>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</si>
  <si>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</si>
  <si>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</si>
  <si>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</si>
  <si>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</si>
  <si>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</si>
  <si>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</si>
  <si>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</si>
  <si>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</si>
  <si>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</si>
  <si>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</si>
  <si>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</si>
  <si>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</si>
  <si>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</si>
  <si>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</si>
  <si>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</si>
  <si>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</si>
  <si>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</si>
  <si>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</si>
  <si>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</si>
  <si>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</si>
  <si>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</si>
  <si>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</si>
  <si>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</si>
  <si>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</si>
  <si>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</si>
  <si>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</si>
  <si>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</si>
  <si>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</si>
  <si>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</si>
  <si>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</si>
  <si>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</si>
  <si>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</si>
  <si>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</si>
  <si>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</si>
  <si>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</si>
  <si>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</si>
  <si>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</si>
  <si>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</si>
  <si>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</si>
  <si>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</si>
  <si>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</si>
  <si>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</si>
  <si>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</si>
  <si>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</si>
  <si>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</si>
  <si>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</si>
  <si>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</si>
  <si>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</si>
  <si>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</si>
  <si>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</si>
  <si>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</si>
  <si>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</si>
  <si>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</si>
  <si>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</si>
  <si>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</si>
  <si>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</si>
  <si>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</si>
  <si>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</si>
  <si>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</si>
  <si>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</si>
  <si>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</si>
  <si>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</si>
  <si>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</si>
  <si>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</si>
  <si>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</si>
  <si>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</si>
  <si>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</si>
  <si>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</si>
  <si>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</si>
  <si>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</si>
  <si>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</si>
  <si>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</si>
  <si>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</si>
  <si>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</si>
  <si>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</si>
  <si>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</si>
  <si>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</si>
  <si>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</si>
  <si>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</si>
  <si>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</si>
  <si>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</si>
  <si>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</si>
  <si>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</si>
  <si>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AQUINNAH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</si>
  <si>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</si>
  <si>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</si>
  <si>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</si>
  <si>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</si>
  <si>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</si>
  <si>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</si>
  <si>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</si>
  <si>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</si>
  <si>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</si>
  <si>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</si>
  <si>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</si>
  <si>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</si>
  <si>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</si>
  <si>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</si>
  <si>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</si>
  <si>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</si>
  <si>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</si>
  <si>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</si>
  <si>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</si>
  <si>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</si>
  <si>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</si>
  <si>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</si>
  <si>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</si>
  <si>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</si>
  <si>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</si>
  <si>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</si>
  <si>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</si>
  <si>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</si>
  <si>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</si>
  <si>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</si>
  <si>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</si>
  <si>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</si>
  <si>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</si>
  <si>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</si>
  <si>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</si>
  <si>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</si>
  <si>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</si>
  <si>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</si>
  <si>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</si>
  <si>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</si>
  <si>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</si>
  <si>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</si>
  <si>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</si>
  <si>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</si>
  <si>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</si>
  <si>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</si>
  <si>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</si>
  <si>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</si>
  <si>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</si>
  <si>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</si>
  <si>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</si>
  <si>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</si>
  <si>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</si>
  <si>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</si>
  <si>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</si>
  <si>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</si>
  <si>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</si>
  <si>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</si>
  <si>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</si>
  <si>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</si>
  <si>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</si>
  <si>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 BY THE SEA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</si>
  <si>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</si>
  <si>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</si>
  <si>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</si>
  <si>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</si>
  <si>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</si>
  <si>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</si>
  <si>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</si>
  <si>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</si>
  <si>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</si>
  <si>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</si>
  <si>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</si>
  <si>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</si>
  <si>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</si>
  <si>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</si>
  <si>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</si>
  <si>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</si>
  <si>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</si>
  <si>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</si>
  <si>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</si>
  <si>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</si>
  <si>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</si>
  <si>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</si>
  <si>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</si>
  <si>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</si>
  <si>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</si>
  <si>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</si>
  <si>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</si>
  <si>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</si>
  <si>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</si>
  <si>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</si>
  <si>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</si>
  <si>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</si>
  <si>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</si>
  <si>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</si>
  <si>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</si>
  <si>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</si>
  <si>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</si>
  <si>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</si>
  <si>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</si>
  <si>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</si>
  <si>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</si>
  <si>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</si>
  <si>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</si>
  <si>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</si>
  <si>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</si>
  <si>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</si>
  <si>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</si>
  <si>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</si>
  <si>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</si>
  <si>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</si>
  <si>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</si>
  <si>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</si>
  <si>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</si>
  <si>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</si>
  <si>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</si>
  <si>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</si>
  <si>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</si>
  <si>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</si>
  <si>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</si>
  <si>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</si>
  <si>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</si>
  <si>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</si>
  <si>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</si>
  <si>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</si>
  <si>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</si>
  <si>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</si>
  <si>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</si>
  <si>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</si>
  <si>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</si>
  <si>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</si>
  <si>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</si>
  <si>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</si>
  <si>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</si>
  <si>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</si>
  <si>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</si>
  <si>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</si>
  <si>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</si>
  <si>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</si>
  <si>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</si>
  <si>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</si>
  <si>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</si>
  <si>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</si>
  <si>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</si>
  <si>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</si>
  <si>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</si>
  <si>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</si>
  <si>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</si>
  <si>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</si>
  <si>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</si>
  <si>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</si>
  <si>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</si>
  <si>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</si>
  <si>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</si>
  <si>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</si>
  <si>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</si>
  <si>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</si>
  <si>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</si>
  <si>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</si>
  <si>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</si>
  <si>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</si>
  <si>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</si>
  <si>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</si>
  <si>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</si>
  <si>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</si>
  <si>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</si>
  <si>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</si>
  <si>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</si>
  <si>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</si>
  <si>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</si>
  <si>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</si>
  <si>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</si>
  <si>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</si>
  <si>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</si>
  <si>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</si>
  <si>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</si>
  <si>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</si>
  <si>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</si>
  <si>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</si>
  <si>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</si>
  <si>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</si>
  <si>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</si>
  <si>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</si>
  <si>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</si>
  <si>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</si>
  <si>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</si>
  <si>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</si>
  <si>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</si>
  <si>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</si>
  <si>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</si>
  <si>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</si>
  <si>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</si>
  <si>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</si>
  <si>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</si>
  <si>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</si>
  <si>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</si>
  <si>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</si>
  <si>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</si>
  <si>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</si>
  <si>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</si>
  <si>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</si>
  <si>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</si>
  <si>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</si>
  <si>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</si>
  <si>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</si>
  <si>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</si>
  <si>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</si>
  <si>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</si>
  <si>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</si>
  <si>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</si>
  <si>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</si>
  <si>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</si>
  <si>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</si>
  <si>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</si>
  <si>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</si>
  <si>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</si>
  <si>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</si>
  <si>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</si>
  <si>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</si>
  <si>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</si>
  <si>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</si>
  <si>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</si>
  <si>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</si>
  <si>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</si>
  <si>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</si>
  <si>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</si>
  <si>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</si>
  <si>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</si>
  <si>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</si>
  <si>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</si>
  <si>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</si>
  <si>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</si>
  <si>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</si>
  <si>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</si>
  <si>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</si>
  <si>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</si>
  <si>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</si>
  <si>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</si>
  <si>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</si>
  <si>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</si>
  <si>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</si>
  <si>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</si>
  <si>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</si>
  <si>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</si>
  <si>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</si>
  <si>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</si>
  <si>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CITY/TOWN/DISTRICT</t>
  </si>
  <si>
    <t>DEVENS</t>
  </si>
  <si>
    <t>MASSACHUSETTS DEPARTMENT OF REVENUE</t>
  </si>
  <si>
    <t>BUREAU OF ACCOUNTS</t>
  </si>
  <si>
    <t>Fiscal Year</t>
  </si>
  <si>
    <t>Maximum Allowable Levy</t>
  </si>
  <si>
    <t>Estimated Levy cannot exceed the Maximum Allowable Levy</t>
  </si>
  <si>
    <t>CITY/TOWN</t>
  </si>
  <si>
    <t>Estimated Levy Limit Calculations</t>
  </si>
  <si>
    <t>Enter the desired CIP Shift from table below (Col. A):</t>
  </si>
  <si>
    <t>Use 1.00 for a Single Tax Rate (no shift)</t>
  </si>
  <si>
    <t>Levy percentage (from Options worksheet)</t>
  </si>
  <si>
    <t>Valuation                  by class                    (from Options worksheet)</t>
  </si>
  <si>
    <t xml:space="preserve">     Ia. Total amount to be raised (from Page 2 IIe)</t>
  </si>
  <si>
    <t xml:space="preserve">     Ib. Total estimated receipts and other revenue sources (from Page 2 IIIe)</t>
  </si>
  <si>
    <t>TOTAL VALUE</t>
  </si>
  <si>
    <t xml:space="preserve">       b. Community Impact Fee Short Term Rentals</t>
  </si>
  <si>
    <t xml:space="preserve"> 4. Retained Earnings Deficit</t>
  </si>
  <si>
    <t xml:space="preserve"> 2.    Municipal light surplus</t>
  </si>
  <si>
    <t>FY2025</t>
  </si>
  <si>
    <t>Revised 6-27-25</t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</si>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</sst>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"/>
    <numFmt numFmtId="166" formatCode="mm/dd/yy"/>
    <numFmt numFmtId="167" formatCode="0.00_);\(0.00\)"/>
    <numFmt numFmtId="168" formatCode="0.0000"/>
    <numFmt numFmtId="169" formatCode="[$-F400]h:mm:ss\ AM/PM"/>
    <numFmt numFmtId="170" formatCode="#,##0.000000_);\(#,##0.000000\)"/>
    <numFmt numFmtId="171" formatCode="#,##0.000000"/>
    <numFmt numFmtId="172" formatCode="0.000000"/>
    <numFmt numFmtId="173" formatCode="0.00000000"/>
    <numFmt numFmtId="174" formatCode="0.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10"/>
      <color indexed="12"/>
      <name val="Arial"/>
      <family val="2"/>
    </font>
    <font>
      <b/>
      <sz val="16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1"/>
      <name val="Bookman"/>
      <family val="1"/>
    </font>
    <font>
      <b/>
      <i/>
      <sz val="11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3333FF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name val="Courier"/>
      <family val="3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color rgb="FF3333FF"/>
      <name val="Arial"/>
      <family val="2"/>
    </font>
    <font>
      <b/>
      <sz val="11"/>
      <color rgb="FF3333FF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3333FF"/>
      <name val="Calibri"/>
      <family val="2"/>
    </font>
    <font>
      <b/>
      <sz val="12"/>
      <color theme="1"/>
      <name val="Calibri"/>
      <family val="2"/>
    </font>
    <font>
      <b/>
      <sz val="14"/>
      <color indexed="8"/>
      <name val="Book Antiqua"/>
      <family val="1"/>
    </font>
    <font>
      <sz val="14"/>
      <name val="Book Antiqua"/>
      <family val="1"/>
    </font>
    <font>
      <b/>
      <u/>
      <sz val="11"/>
      <color indexed="8"/>
      <name val="Arial"/>
      <family val="2"/>
    </font>
    <font>
      <sz val="10"/>
      <color indexed="12"/>
      <name val="Courier"/>
      <family val="3"/>
    </font>
    <font>
      <b/>
      <sz val="11"/>
      <color rgb="FF3333FF"/>
      <name val="Arial"/>
      <family val="2"/>
    </font>
    <font>
      <sz val="14"/>
      <color indexed="8"/>
      <name val="Book Antiqua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4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6"/>
      <color rgb="FF0000FF"/>
      <name val="Arial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lightUp">
        <bgColor theme="9" tint="0.79998168889431442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39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2">
    <xf numFmtId="0" fontId="0" fillId="0" borderId="0" xfId="0"/>
    <xf numFmtId="0" fontId="8" fillId="3" borderId="10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 applyProtection="1">
      <alignment horizontal="center" vertical="center"/>
      <protection hidden="1"/>
    </xf>
    <xf numFmtId="166" fontId="16" fillId="2" borderId="29" xfId="0" applyNumberFormat="1" applyFont="1" applyFill="1" applyBorder="1" applyAlignment="1" applyProtection="1">
      <alignment horizontal="center"/>
      <protection locked="0"/>
    </xf>
    <xf numFmtId="0" fontId="6" fillId="0" borderId="0" xfId="3" applyProtection="1">
      <protection locked="0"/>
    </xf>
    <xf numFmtId="0" fontId="21" fillId="2" borderId="0" xfId="3" applyFont="1" applyFill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0" fillId="0" borderId="0" xfId="0" applyProtection="1">
      <protection locked="0"/>
    </xf>
    <xf numFmtId="0" fontId="8" fillId="0" borderId="0" xfId="3" applyFont="1" applyProtection="1">
      <protection locked="0"/>
    </xf>
    <xf numFmtId="3" fontId="27" fillId="7" borderId="34" xfId="1" applyNumberFormat="1" applyFont="1" applyFill="1" applyBorder="1" applyAlignment="1" applyProtection="1">
      <protection locked="0"/>
    </xf>
    <xf numFmtId="3" fontId="27" fillId="7" borderId="12" xfId="1" applyNumberFormat="1" applyFont="1" applyFill="1" applyBorder="1" applyAlignment="1" applyProtection="1">
      <protection locked="0"/>
    </xf>
    <xf numFmtId="3" fontId="27" fillId="7" borderId="33" xfId="1" applyNumberFormat="1" applyFont="1" applyFill="1" applyBorder="1" applyAlignment="1" applyProtection="1">
      <protection locked="0"/>
    </xf>
    <xf numFmtId="164" fontId="20" fillId="0" borderId="0" xfId="2" applyNumberFormat="1" applyFont="1" applyBorder="1" applyAlignment="1" applyProtection="1">
      <alignment vertical="center"/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3" fillId="5" borderId="13" xfId="3" applyFont="1" applyFill="1" applyBorder="1" applyAlignment="1" applyProtection="1">
      <alignment vertical="center"/>
      <protection locked="0"/>
    </xf>
    <xf numFmtId="0" fontId="14" fillId="2" borderId="0" xfId="3" applyFont="1" applyFill="1" applyProtection="1">
      <protection locked="0"/>
    </xf>
    <xf numFmtId="0" fontId="14" fillId="5" borderId="13" xfId="3" applyFont="1" applyFill="1" applyBorder="1" applyAlignment="1" applyProtection="1">
      <alignment vertical="center"/>
      <protection locked="0"/>
    </xf>
    <xf numFmtId="0" fontId="14" fillId="5" borderId="32" xfId="3" applyFont="1" applyFill="1" applyBorder="1" applyAlignment="1" applyProtection="1">
      <alignment vertical="center"/>
      <protection locked="0"/>
    </xf>
    <xf numFmtId="0" fontId="14" fillId="5" borderId="31" xfId="3" applyFont="1" applyFill="1" applyBorder="1" applyAlignment="1" applyProtection="1">
      <alignment vertical="center"/>
      <protection locked="0"/>
    </xf>
    <xf numFmtId="0" fontId="24" fillId="2" borderId="0" xfId="3" applyFont="1" applyFill="1" applyProtection="1">
      <protection locked="0"/>
    </xf>
    <xf numFmtId="0" fontId="14" fillId="2" borderId="0" xfId="3" applyFont="1" applyFill="1" applyAlignment="1" applyProtection="1">
      <alignment vertical="top"/>
      <protection locked="0"/>
    </xf>
    <xf numFmtId="0" fontId="25" fillId="2" borderId="0" xfId="3" applyFont="1" applyFill="1" applyAlignment="1" applyProtection="1">
      <alignment vertical="center"/>
      <protection locked="0"/>
    </xf>
    <xf numFmtId="0" fontId="26" fillId="2" borderId="0" xfId="3" applyFont="1" applyFill="1" applyAlignment="1" applyProtection="1">
      <alignment vertical="center"/>
      <protection locked="0"/>
    </xf>
    <xf numFmtId="0" fontId="14" fillId="5" borderId="13" xfId="3" applyFont="1" applyFill="1" applyBorder="1" applyProtection="1">
      <protection locked="0"/>
    </xf>
    <xf numFmtId="0" fontId="14" fillId="5" borderId="1" xfId="3" applyFont="1" applyFill="1" applyBorder="1" applyAlignment="1" applyProtection="1">
      <alignment vertical="center"/>
      <protection locked="0"/>
    </xf>
    <xf numFmtId="0" fontId="14" fillId="5" borderId="32" xfId="3" quotePrefix="1" applyFont="1" applyFill="1" applyBorder="1" applyAlignment="1" applyProtection="1">
      <alignment vertical="center"/>
      <protection locked="0"/>
    </xf>
    <xf numFmtId="0" fontId="14" fillId="5" borderId="1" xfId="3" quotePrefix="1" applyFont="1" applyFill="1" applyBorder="1" applyAlignment="1" applyProtection="1">
      <alignment vertical="center"/>
      <protection locked="0"/>
    </xf>
    <xf numFmtId="0" fontId="14" fillId="5" borderId="31" xfId="3" quotePrefix="1" applyFont="1" applyFill="1" applyBorder="1" applyAlignment="1" applyProtection="1">
      <alignment vertical="center"/>
      <protection locked="0"/>
    </xf>
    <xf numFmtId="0" fontId="14" fillId="5" borderId="30" xfId="3" applyFont="1" applyFill="1" applyBorder="1" applyProtection="1">
      <protection locked="0"/>
    </xf>
    <xf numFmtId="168" fontId="27" fillId="7" borderId="33" xfId="3" applyNumberFormat="1" applyFont="1" applyFill="1" applyBorder="1" applyProtection="1">
      <protection locked="0"/>
    </xf>
    <xf numFmtId="168" fontId="27" fillId="7" borderId="34" xfId="3" applyNumberFormat="1" applyFont="1" applyFill="1" applyBorder="1" applyProtection="1">
      <protection locked="0"/>
    </xf>
    <xf numFmtId="168" fontId="27" fillId="7" borderId="12" xfId="3" applyNumberFormat="1" applyFont="1" applyFill="1" applyBorder="1" applyProtection="1">
      <protection locked="0"/>
    </xf>
    <xf numFmtId="43" fontId="27" fillId="7" borderId="12" xfId="1" applyFont="1" applyFill="1" applyBorder="1" applyAlignment="1" applyProtection="1">
      <protection locked="0"/>
    </xf>
    <xf numFmtId="43" fontId="27" fillId="7" borderId="14" xfId="1" applyFont="1" applyFill="1" applyBorder="1" applyAlignment="1" applyProtection="1">
      <protection locked="0"/>
    </xf>
    <xf numFmtId="4" fontId="16" fillId="2" borderId="10" xfId="0" applyNumberFormat="1" applyFont="1" applyFill="1" applyBorder="1" applyProtection="1">
      <protection locked="0"/>
    </xf>
    <xf numFmtId="4" fontId="16" fillId="2" borderId="30" xfId="0" applyNumberFormat="1" applyFont="1" applyFill="1" applyBorder="1" applyProtection="1">
      <protection locked="0"/>
    </xf>
    <xf numFmtId="4" fontId="16" fillId="2" borderId="11" xfId="0" applyNumberFormat="1" applyFont="1" applyFill="1" applyBorder="1" applyProtection="1">
      <protection locked="0"/>
    </xf>
    <xf numFmtId="4" fontId="16" fillId="2" borderId="28" xfId="0" applyNumberFormat="1" applyFont="1" applyFill="1" applyBorder="1" applyAlignment="1">
      <alignment horizontal="center"/>
    </xf>
    <xf numFmtId="0" fontId="16" fillId="2" borderId="10" xfId="0" applyFont="1" applyFill="1" applyBorder="1" applyAlignment="1" applyProtection="1">
      <alignment horizontal="center"/>
      <protection locked="0"/>
    </xf>
    <xf numFmtId="0" fontId="16" fillId="2" borderId="28" xfId="0" applyFont="1" applyFill="1" applyBorder="1" applyAlignment="1" applyProtection="1">
      <alignment horizontal="center"/>
      <protection locked="0"/>
    </xf>
    <xf numFmtId="4" fontId="8" fillId="4" borderId="2" xfId="0" applyNumberFormat="1" applyFont="1" applyFill="1" applyBorder="1" applyProtection="1">
      <protection hidden="1"/>
    </xf>
    <xf numFmtId="164" fontId="23" fillId="6" borderId="31" xfId="2" applyNumberFormat="1" applyFont="1" applyFill="1" applyBorder="1" applyAlignment="1" applyProtection="1">
      <alignment vertical="center"/>
    </xf>
    <xf numFmtId="164" fontId="23" fillId="6" borderId="10" xfId="2" applyNumberFormat="1" applyFont="1" applyFill="1" applyBorder="1" applyAlignment="1" applyProtection="1">
      <alignment vertical="center"/>
    </xf>
    <xf numFmtId="3" fontId="23" fillId="6" borderId="30" xfId="2" applyNumberFormat="1" applyFont="1" applyFill="1" applyBorder="1" applyAlignment="1" applyProtection="1">
      <alignment vertical="center"/>
    </xf>
    <xf numFmtId="167" fontId="23" fillId="6" borderId="13" xfId="2" applyNumberFormat="1" applyFont="1" applyFill="1" applyBorder="1" applyAlignment="1" applyProtection="1">
      <alignment vertical="center"/>
    </xf>
    <xf numFmtId="3" fontId="30" fillId="0" borderId="13" xfId="3" applyNumberFormat="1" applyFont="1" applyBorder="1" applyAlignment="1" applyProtection="1">
      <alignment vertical="center"/>
      <protection locked="0"/>
    </xf>
    <xf numFmtId="4" fontId="15" fillId="2" borderId="6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right" vertical="center"/>
    </xf>
    <xf numFmtId="4" fontId="8" fillId="3" borderId="10" xfId="0" applyNumberFormat="1" applyFont="1" applyFill="1" applyBorder="1" applyAlignment="1">
      <alignment horizontal="right" vertical="center"/>
    </xf>
    <xf numFmtId="4" fontId="8" fillId="4" borderId="12" xfId="0" applyNumberFormat="1" applyFont="1" applyFill="1" applyBorder="1" applyAlignment="1">
      <alignment horizontal="right" vertical="center"/>
    </xf>
    <xf numFmtId="4" fontId="8" fillId="3" borderId="13" xfId="0" applyNumberFormat="1" applyFont="1" applyFill="1" applyBorder="1" applyAlignment="1">
      <alignment horizontal="right" vertical="center"/>
    </xf>
    <xf numFmtId="0" fontId="0" fillId="0" borderId="0" xfId="0" applyProtection="1">
      <protection hidden="1"/>
    </xf>
    <xf numFmtId="0" fontId="0" fillId="0" borderId="0" xfId="0" applyAlignment="1">
      <alignment vertical="center"/>
    </xf>
    <xf numFmtId="0" fontId="22" fillId="0" borderId="0" xfId="3" applyFont="1" applyProtection="1">
      <protection hidden="1"/>
    </xf>
    <xf numFmtId="0" fontId="34" fillId="8" borderId="13" xfId="3" applyFont="1" applyFill="1" applyBorder="1" applyProtection="1">
      <protection hidden="1"/>
    </xf>
    <xf numFmtId="0" fontId="2" fillId="0" borderId="0" xfId="0" applyFont="1" applyAlignment="1" applyProtection="1">
      <alignment horizontal="center"/>
      <protection locked="0"/>
    </xf>
    <xf numFmtId="3" fontId="31" fillId="0" borderId="0" xfId="3" applyNumberFormat="1" applyFont="1" applyAlignment="1" applyProtection="1">
      <alignment vertical="center"/>
      <protection locked="0"/>
    </xf>
    <xf numFmtId="10" fontId="31" fillId="0" borderId="0" xfId="2" applyNumberFormat="1" applyFont="1" applyFill="1" applyBorder="1" applyAlignment="1" applyProtection="1">
      <alignment vertical="center"/>
      <protection locked="0"/>
    </xf>
    <xf numFmtId="3" fontId="31" fillId="0" borderId="13" xfId="3" applyNumberFormat="1" applyFont="1" applyBorder="1" applyAlignment="1" applyProtection="1">
      <alignment vertical="center"/>
      <protection locked="0"/>
    </xf>
    <xf numFmtId="10" fontId="31" fillId="0" borderId="13" xfId="2" applyNumberFormat="1" applyFont="1" applyFill="1" applyBorder="1" applyAlignment="1" applyProtection="1">
      <alignment vertical="center"/>
      <protection locked="0"/>
    </xf>
    <xf numFmtId="4" fontId="8" fillId="4" borderId="36" xfId="0" applyNumberFormat="1" applyFont="1" applyFill="1" applyBorder="1" applyAlignment="1">
      <alignment vertical="center"/>
    </xf>
    <xf numFmtId="0" fontId="8" fillId="3" borderId="38" xfId="0" applyFont="1" applyFill="1" applyBorder="1" applyAlignment="1">
      <alignment horizontal="right" vertical="center"/>
    </xf>
    <xf numFmtId="4" fontId="8" fillId="4" borderId="39" xfId="0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22" fillId="0" borderId="0" xfId="3" applyFont="1"/>
    <xf numFmtId="0" fontId="6" fillId="0" borderId="0" xfId="3"/>
    <xf numFmtId="0" fontId="3" fillId="5" borderId="13" xfId="3" applyFont="1" applyFill="1" applyBorder="1" applyAlignment="1" applyProtection="1">
      <alignment vertical="center" wrapText="1"/>
      <protection locked="0"/>
    </xf>
    <xf numFmtId="3" fontId="4" fillId="2" borderId="0" xfId="5" applyNumberFormat="1" applyFont="1" applyFill="1" applyAlignment="1">
      <alignment horizontal="left"/>
    </xf>
    <xf numFmtId="164" fontId="25" fillId="0" borderId="0" xfId="2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9" fontId="30" fillId="0" borderId="13" xfId="2" applyFont="1" applyFill="1" applyBorder="1" applyAlignment="1" applyProtection="1">
      <alignment vertical="center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3" fillId="0" borderId="0" xfId="3" applyFont="1" applyAlignment="1">
      <alignment horizontal="center" vertical="center" wrapText="1"/>
    </xf>
    <xf numFmtId="0" fontId="39" fillId="0" borderId="0" xfId="0" applyFont="1" applyAlignment="1">
      <alignment wrapText="1"/>
    </xf>
    <xf numFmtId="10" fontId="31" fillId="0" borderId="0" xfId="3" applyNumberFormat="1" applyFont="1" applyAlignment="1" applyProtection="1">
      <alignment vertical="center" wrapText="1"/>
      <protection locked="0"/>
    </xf>
    <xf numFmtId="0" fontId="8" fillId="2" borderId="0" xfId="0" applyFont="1" applyFill="1" applyProtection="1">
      <protection locked="0"/>
    </xf>
    <xf numFmtId="14" fontId="8" fillId="2" borderId="0" xfId="0" applyNumberFormat="1" applyFont="1" applyFill="1" applyProtection="1">
      <protection locked="0"/>
    </xf>
    <xf numFmtId="14" fontId="8" fillId="2" borderId="0" xfId="0" applyNumberFormat="1" applyFont="1" applyFill="1" applyAlignment="1" applyProtection="1">
      <alignment horizontal="left"/>
      <protection locked="0"/>
    </xf>
    <xf numFmtId="0" fontId="19" fillId="0" borderId="0" xfId="0" applyFont="1"/>
    <xf numFmtId="14" fontId="14" fillId="2" borderId="0" xfId="0" applyNumberFormat="1" applyFont="1" applyFill="1"/>
    <xf numFmtId="14" fontId="17" fillId="2" borderId="0" xfId="0" applyNumberFormat="1" applyFont="1" applyFill="1"/>
    <xf numFmtId="0" fontId="8" fillId="2" borderId="0" xfId="0" applyFont="1" applyFill="1"/>
    <xf numFmtId="14" fontId="8" fillId="2" borderId="0" xfId="0" applyNumberFormat="1" applyFont="1" applyFill="1"/>
    <xf numFmtId="14" fontId="0" fillId="0" borderId="3" xfId="0" applyNumberFormat="1" applyBorder="1"/>
    <xf numFmtId="0" fontId="8" fillId="2" borderId="17" xfId="0" applyFont="1" applyFill="1" applyBorder="1"/>
    <xf numFmtId="0" fontId="8" fillId="2" borderId="18" xfId="0" applyFont="1" applyFill="1" applyBorder="1"/>
    <xf numFmtId="0" fontId="8" fillId="2" borderId="19" xfId="0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Continuous"/>
    </xf>
    <xf numFmtId="14" fontId="0" fillId="0" borderId="21" xfId="0" applyNumberFormat="1" applyBorder="1"/>
    <xf numFmtId="0" fontId="8" fillId="2" borderId="12" xfId="0" applyFont="1" applyFill="1" applyBorder="1"/>
    <xf numFmtId="0" fontId="8" fillId="2" borderId="22" xfId="0" applyFont="1" applyFill="1" applyBorder="1" applyAlignment="1">
      <alignment horizontal="centerContinuous" vertical="center"/>
    </xf>
    <xf numFmtId="0" fontId="8" fillId="2" borderId="23" xfId="0" applyFont="1" applyFill="1" applyBorder="1" applyAlignment="1">
      <alignment horizontal="centerContinuous" vertical="center"/>
    </xf>
    <xf numFmtId="14" fontId="8" fillId="2" borderId="24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4" fontId="8" fillId="2" borderId="25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0" borderId="26" xfId="0" applyFont="1" applyBorder="1"/>
    <xf numFmtId="0" fontId="8" fillId="0" borderId="26" xfId="0" applyFont="1" applyBorder="1" applyAlignment="1">
      <alignment horizontal="center"/>
    </xf>
    <xf numFmtId="0" fontId="8" fillId="2" borderId="26" xfId="0" quotePrefix="1" applyFont="1" applyFill="1" applyBorder="1" applyAlignment="1">
      <alignment horizontal="center"/>
    </xf>
    <xf numFmtId="14" fontId="8" fillId="2" borderId="27" xfId="0" applyNumberFormat="1" applyFont="1" applyFill="1" applyBorder="1" applyAlignment="1">
      <alignment horizontal="center" vertical="center"/>
    </xf>
    <xf numFmtId="0" fontId="8" fillId="0" borderId="28" xfId="0" applyFont="1" applyBorder="1"/>
    <xf numFmtId="0" fontId="8" fillId="2" borderId="28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4" fontId="8" fillId="4" borderId="10" xfId="0" applyNumberFormat="1" applyFont="1" applyFill="1" applyBorder="1"/>
    <xf numFmtId="4" fontId="8" fillId="4" borderId="28" xfId="0" applyNumberFormat="1" applyFont="1" applyFill="1" applyBorder="1"/>
    <xf numFmtId="0" fontId="8" fillId="2" borderId="7" xfId="0" applyFont="1" applyFill="1" applyBorder="1" applyAlignment="1">
      <alignment horizontal="center" wrapText="1"/>
    </xf>
    <xf numFmtId="14" fontId="8" fillId="2" borderId="27" xfId="0" applyNumberFormat="1" applyFont="1" applyFill="1" applyBorder="1" applyAlignment="1">
      <alignment horizontal="center"/>
    </xf>
    <xf numFmtId="0" fontId="8" fillId="2" borderId="0" xfId="0" quotePrefix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14" fontId="8" fillId="2" borderId="0" xfId="0" quotePrefix="1" applyNumberFormat="1" applyFont="1" applyFill="1" applyAlignment="1">
      <alignment horizontal="left"/>
    </xf>
    <xf numFmtId="0" fontId="0" fillId="0" borderId="0" xfId="0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fill"/>
      <protection locked="0"/>
    </xf>
    <xf numFmtId="0" fontId="0" fillId="0" borderId="0" xfId="0" quotePrefix="1"/>
    <xf numFmtId="0" fontId="2" fillId="0" borderId="0" xfId="0" applyFont="1"/>
    <xf numFmtId="0" fontId="2" fillId="0" borderId="0" xfId="0" applyFont="1" applyAlignment="1">
      <alignment horizontal="center"/>
    </xf>
    <xf numFmtId="16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8" fillId="2" borderId="0" xfId="0" applyFont="1" applyFill="1" applyAlignment="1">
      <alignment horizontal="left"/>
    </xf>
    <xf numFmtId="0" fontId="2" fillId="0" borderId="0" xfId="0" applyFont="1" applyProtection="1">
      <protection locked="0"/>
    </xf>
    <xf numFmtId="0" fontId="18" fillId="0" borderId="0" xfId="0" applyFont="1"/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10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1" fontId="0" fillId="0" borderId="0" xfId="0" applyNumberFormat="1" applyProtection="1">
      <protection locked="0"/>
    </xf>
    <xf numFmtId="0" fontId="33" fillId="0" borderId="0" xfId="0" applyFont="1" applyProtection="1">
      <protection locked="0"/>
    </xf>
    <xf numFmtId="0" fontId="0" fillId="0" borderId="0" xfId="0" quotePrefix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fill"/>
      <protection locked="0"/>
    </xf>
    <xf numFmtId="3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0" fontId="3" fillId="2" borderId="0" xfId="0" applyFont="1" applyFill="1" applyAlignment="1">
      <alignment horizontal="left"/>
    </xf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2" borderId="0" xfId="0" applyFont="1" applyFill="1"/>
    <xf numFmtId="0" fontId="9" fillId="0" borderId="0" xfId="0" applyFont="1"/>
    <xf numFmtId="0" fontId="7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65" fontId="8" fillId="4" borderId="10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165" fontId="35" fillId="4" borderId="13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165" fontId="8" fillId="4" borderId="10" xfId="0" quotePrefix="1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0" fillId="12" borderId="0" xfId="0" applyFill="1" applyProtection="1">
      <protection hidden="1"/>
    </xf>
    <xf numFmtId="168" fontId="37" fillId="0" borderId="31" xfId="3" applyNumberFormat="1" applyFont="1" applyBorder="1" applyProtection="1">
      <protection hidden="1"/>
    </xf>
    <xf numFmtId="164" fontId="0" fillId="0" borderId="0" xfId="0" applyNumberFormat="1" applyProtection="1">
      <protection hidden="1"/>
    </xf>
    <xf numFmtId="168" fontId="23" fillId="6" borderId="31" xfId="2" applyNumberFormat="1" applyFont="1" applyFill="1" applyBorder="1" applyAlignment="1" applyProtection="1">
      <alignment vertical="center"/>
      <protection hidden="1"/>
    </xf>
    <xf numFmtId="168" fontId="23" fillId="6" borderId="10" xfId="2" applyNumberFormat="1" applyFont="1" applyFill="1" applyBorder="1" applyAlignment="1" applyProtection="1">
      <alignment vertical="center"/>
      <protection hidden="1"/>
    </xf>
    <xf numFmtId="168" fontId="0" fillId="0" borderId="0" xfId="0" applyNumberFormat="1" applyProtection="1">
      <protection hidden="1"/>
    </xf>
    <xf numFmtId="4" fontId="6" fillId="0" borderId="0" xfId="3" applyNumberFormat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10" fontId="0" fillId="9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164" fontId="14" fillId="0" borderId="0" xfId="2" applyNumberFormat="1" applyFont="1" applyAlignment="1" applyProtection="1">
      <alignment horizontal="center" vertical="center"/>
      <protection locked="0"/>
    </xf>
    <xf numFmtId="3" fontId="23" fillId="0" borderId="0" xfId="3" applyNumberFormat="1" applyFont="1" applyAlignment="1">
      <alignment vertical="center"/>
    </xf>
    <xf numFmtId="0" fontId="43" fillId="0" borderId="15" xfId="0" applyFont="1" applyBorder="1" applyProtection="1">
      <protection locked="0"/>
    </xf>
    <xf numFmtId="0" fontId="39" fillId="0" borderId="15" xfId="0" applyFont="1" applyBorder="1"/>
    <xf numFmtId="0" fontId="39" fillId="0" borderId="15" xfId="0" applyFont="1" applyBorder="1" applyAlignment="1">
      <alignment horizontal="center"/>
    </xf>
    <xf numFmtId="0" fontId="44" fillId="0" borderId="0" xfId="0" applyFont="1" applyProtection="1">
      <protection locked="0"/>
    </xf>
    <xf numFmtId="4" fontId="44" fillId="4" borderId="16" xfId="0" applyNumberFormat="1" applyFont="1" applyFill="1" applyBorder="1"/>
    <xf numFmtId="4" fontId="45" fillId="2" borderId="15" xfId="0" applyNumberFormat="1" applyFont="1" applyFill="1" applyBorder="1" applyProtection="1">
      <protection locked="0"/>
    </xf>
    <xf numFmtId="4" fontId="44" fillId="0" borderId="0" xfId="0" applyNumberFormat="1" applyFont="1" applyProtection="1">
      <protection locked="0"/>
    </xf>
    <xf numFmtId="4" fontId="44" fillId="4" borderId="2" xfId="0" applyNumberFormat="1" applyFont="1" applyFill="1" applyBorder="1"/>
    <xf numFmtId="4" fontId="44" fillId="4" borderId="15" xfId="0" applyNumberFormat="1" applyFont="1" applyFill="1" applyBorder="1"/>
    <xf numFmtId="4" fontId="46" fillId="4" borderId="2" xfId="0" applyNumberFormat="1" applyFont="1" applyFill="1" applyBorder="1"/>
    <xf numFmtId="0" fontId="46" fillId="2" borderId="0" xfId="0" applyFont="1" applyFill="1" applyAlignment="1">
      <alignment horizontal="left"/>
    </xf>
    <xf numFmtId="170" fontId="30" fillId="0" borderId="13" xfId="3" applyNumberFormat="1" applyFont="1" applyBorder="1" applyAlignment="1" applyProtection="1">
      <alignment vertical="center"/>
      <protection locked="0"/>
    </xf>
    <xf numFmtId="171" fontId="31" fillId="0" borderId="13" xfId="3" applyNumberFormat="1" applyFont="1" applyBorder="1" applyAlignment="1" applyProtection="1">
      <alignment vertical="center"/>
      <protection locked="0"/>
    </xf>
    <xf numFmtId="172" fontId="27" fillId="7" borderId="33" xfId="3" applyNumberFormat="1" applyFont="1" applyFill="1" applyBorder="1"/>
    <xf numFmtId="2" fontId="0" fillId="0" borderId="0" xfId="0" applyNumberFormat="1" applyProtection="1">
      <protection locked="0"/>
    </xf>
    <xf numFmtId="0" fontId="35" fillId="0" borderId="0" xfId="0" applyFont="1"/>
    <xf numFmtId="0" fontId="36" fillId="0" borderId="0" xfId="3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9" fillId="0" borderId="0" xfId="0" applyFont="1" applyAlignment="1" applyProtection="1">
      <alignment horizontal="left" indent="1"/>
      <protection locked="0"/>
    </xf>
    <xf numFmtId="10" fontId="47" fillId="0" borderId="13" xfId="3" applyNumberFormat="1" applyFont="1" applyBorder="1" applyAlignment="1" applyProtection="1">
      <alignment horizontal="center" vertical="center"/>
      <protection locked="0"/>
    </xf>
    <xf numFmtId="173" fontId="48" fillId="0" borderId="13" xfId="3" applyNumberFormat="1" applyFont="1" applyBorder="1" applyAlignment="1">
      <alignment horizontal="center" vertical="center"/>
    </xf>
    <xf numFmtId="168" fontId="2" fillId="11" borderId="13" xfId="0" applyNumberFormat="1" applyFont="1" applyFill="1" applyBorder="1" applyAlignment="1">
      <alignment horizontal="center" vertical="center"/>
    </xf>
    <xf numFmtId="174" fontId="38" fillId="0" borderId="13" xfId="0" applyNumberFormat="1" applyFont="1" applyBorder="1" applyAlignment="1" applyProtection="1">
      <alignment horizontal="center" vertical="center"/>
      <protection locked="0"/>
    </xf>
    <xf numFmtId="3" fontId="53" fillId="2" borderId="15" xfId="0" applyNumberFormat="1" applyFont="1" applyFill="1" applyBorder="1" applyProtection="1">
      <protection locked="0"/>
    </xf>
    <xf numFmtId="0" fontId="3" fillId="5" borderId="13" xfId="3" applyFont="1" applyFill="1" applyBorder="1" applyAlignment="1" applyProtection="1">
      <alignment horizontal="center" vertical="center" wrapText="1"/>
      <protection locked="0"/>
    </xf>
    <xf numFmtId="4" fontId="23" fillId="11" borderId="13" xfId="3" applyNumberFormat="1" applyFont="1" applyFill="1" applyBorder="1" applyAlignment="1">
      <alignment vertical="center"/>
    </xf>
    <xf numFmtId="4" fontId="23" fillId="0" borderId="13" xfId="3" applyNumberFormat="1" applyFont="1" applyBorder="1" applyAlignment="1" applyProtection="1">
      <alignment vertical="center"/>
      <protection locked="0"/>
    </xf>
    <xf numFmtId="4" fontId="23" fillId="0" borderId="0" xfId="3" applyNumberFormat="1" applyFont="1" applyAlignment="1" applyProtection="1">
      <alignment vertical="center"/>
      <protection locked="0"/>
    </xf>
    <xf numFmtId="0" fontId="59" fillId="0" borderId="0" xfId="3" applyFont="1" applyAlignment="1" applyProtection="1">
      <alignment horizontal="center" vertical="center" wrapText="1"/>
      <protection locked="0"/>
    </xf>
    <xf numFmtId="0" fontId="14" fillId="5" borderId="13" xfId="3" applyFont="1" applyFill="1" applyBorder="1" applyAlignment="1" applyProtection="1">
      <alignment horizontal="center"/>
      <protection locked="0"/>
    </xf>
    <xf numFmtId="174" fontId="27" fillId="7" borderId="25" xfId="3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37" fontId="8" fillId="4" borderId="10" xfId="0" applyNumberFormat="1" applyFont="1" applyFill="1" applyBorder="1" applyAlignment="1">
      <alignment vertical="center"/>
    </xf>
    <xf numFmtId="37" fontId="8" fillId="4" borderId="13" xfId="0" applyNumberFormat="1" applyFont="1" applyFill="1" applyBorder="1" applyAlignment="1">
      <alignment vertical="center"/>
    </xf>
    <xf numFmtId="37" fontId="8" fillId="4" borderId="38" xfId="0" applyNumberFormat="1" applyFont="1" applyFill="1" applyBorder="1" applyAlignment="1">
      <alignment vertical="center"/>
    </xf>
    <xf numFmtId="37" fontId="8" fillId="4" borderId="12" xfId="0" applyNumberFormat="1" applyFont="1" applyFill="1" applyBorder="1" applyAlignment="1">
      <alignment vertical="center"/>
    </xf>
    <xf numFmtId="164" fontId="8" fillId="4" borderId="35" xfId="0" applyNumberFormat="1" applyFont="1" applyFill="1" applyBorder="1"/>
    <xf numFmtId="0" fontId="8" fillId="14" borderId="42" xfId="0" applyFont="1" applyFill="1" applyBorder="1" applyAlignment="1">
      <alignment horizontal="right" vertical="center"/>
    </xf>
    <xf numFmtId="164" fontId="8" fillId="4" borderId="13" xfId="0" applyNumberFormat="1" applyFont="1" applyFill="1" applyBorder="1"/>
    <xf numFmtId="164" fontId="35" fillId="4" borderId="30" xfId="0" applyNumberFormat="1" applyFont="1" applyFill="1" applyBorder="1"/>
    <xf numFmtId="0" fontId="8" fillId="14" borderId="10" xfId="0" applyFont="1" applyFill="1" applyBorder="1" applyAlignment="1">
      <alignment horizontal="right" vertical="center"/>
    </xf>
    <xf numFmtId="164" fontId="35" fillId="4" borderId="13" xfId="0" applyNumberFormat="1" applyFont="1" applyFill="1" applyBorder="1"/>
    <xf numFmtId="164" fontId="8" fillId="4" borderId="15" xfId="0" applyNumberFormat="1" applyFont="1" applyFill="1" applyBorder="1"/>
    <xf numFmtId="164" fontId="8" fillId="4" borderId="37" xfId="0" applyNumberFormat="1" applyFont="1" applyFill="1" applyBorder="1"/>
    <xf numFmtId="4" fontId="46" fillId="4" borderId="0" xfId="0" applyNumberFormat="1" applyFont="1" applyFill="1"/>
    <xf numFmtId="4" fontId="46" fillId="4" borderId="1" xfId="0" applyNumberFormat="1" applyFont="1" applyFill="1" applyBorder="1"/>
    <xf numFmtId="0" fontId="0" fillId="0" borderId="13" xfId="0" applyBorder="1" applyAlignment="1" applyProtection="1">
      <alignment horizontal="left"/>
      <protection locked="0"/>
    </xf>
    <xf numFmtId="0" fontId="54" fillId="2" borderId="0" xfId="0" applyFont="1" applyFill="1" applyAlignment="1" applyProtection="1">
      <alignment horizontal="left"/>
      <protection locked="0"/>
    </xf>
    <xf numFmtId="0" fontId="49" fillId="2" borderId="0" xfId="0" applyFont="1" applyFill="1" applyAlignment="1" applyProtection="1">
      <alignment horizontal="centerContinuous"/>
      <protection locked="0"/>
    </xf>
    <xf numFmtId="37" fontId="0" fillId="0" borderId="0" xfId="0" applyNumberFormat="1" applyProtection="1">
      <protection locked="0"/>
    </xf>
    <xf numFmtId="0" fontId="50" fillId="2" borderId="0" xfId="0" applyFont="1" applyFill="1" applyAlignment="1" applyProtection="1">
      <alignment horizontal="left"/>
      <protection locked="0"/>
    </xf>
    <xf numFmtId="0" fontId="50" fillId="2" borderId="0" xfId="0" applyFont="1" applyFill="1" applyAlignment="1" applyProtection="1">
      <alignment horizontal="centerContinuous"/>
      <protection locked="0"/>
    </xf>
    <xf numFmtId="0" fontId="55" fillId="0" borderId="4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1" fillId="2" borderId="0" xfId="0" applyFont="1" applyFill="1" applyAlignment="1" applyProtection="1">
      <alignment horizontal="centerContinuous"/>
      <protection locked="0"/>
    </xf>
    <xf numFmtId="0" fontId="56" fillId="0" borderId="0" xfId="0" applyFont="1" applyAlignment="1" applyProtection="1">
      <alignment horizontal="right"/>
      <protection locked="0"/>
    </xf>
    <xf numFmtId="0" fontId="62" fillId="0" borderId="13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Continuous"/>
      <protection locked="0"/>
    </xf>
    <xf numFmtId="0" fontId="56" fillId="0" borderId="45" xfId="0" applyFont="1" applyBorder="1" applyAlignment="1" applyProtection="1">
      <alignment horizontal="right"/>
      <protection locked="0"/>
    </xf>
    <xf numFmtId="0" fontId="35" fillId="0" borderId="45" xfId="0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Continuous"/>
      <protection locked="0"/>
    </xf>
    <xf numFmtId="0" fontId="0" fillId="2" borderId="45" xfId="0" applyFill="1" applyBorder="1" applyAlignment="1" applyProtection="1">
      <alignment horizontal="centerContinuous"/>
      <protection locked="0"/>
    </xf>
    <xf numFmtId="0" fontId="3" fillId="2" borderId="0" xfId="0" quotePrefix="1" applyFont="1" applyFill="1" applyAlignment="1" applyProtection="1">
      <alignment horizontal="centerContinuous"/>
      <protection locked="0"/>
    </xf>
    <xf numFmtId="0" fontId="50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3" fontId="8" fillId="2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37" fontId="8" fillId="0" borderId="0" xfId="0" applyNumberFormat="1" applyFont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indent="1"/>
      <protection locked="0"/>
    </xf>
    <xf numFmtId="3" fontId="8" fillId="2" borderId="0" xfId="0" applyNumberFormat="1" applyFont="1" applyFill="1" applyAlignment="1" applyProtection="1">
      <alignment horizontal="fill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quotePrefix="1" applyFont="1" applyFill="1" applyAlignment="1" applyProtection="1">
      <alignment horizontal="left" indent="1"/>
      <protection locked="0"/>
    </xf>
    <xf numFmtId="0" fontId="16" fillId="2" borderId="0" xfId="0" applyFont="1" applyFill="1" applyProtection="1">
      <protection locked="0"/>
    </xf>
    <xf numFmtId="0" fontId="36" fillId="13" borderId="32" xfId="0" applyFont="1" applyFill="1" applyBorder="1" applyAlignment="1" applyProtection="1">
      <alignment horizontal="center" vertical="center" wrapText="1"/>
      <protection locked="0"/>
    </xf>
    <xf numFmtId="0" fontId="36" fillId="13" borderId="1" xfId="0" applyFont="1" applyFill="1" applyBorder="1" applyAlignment="1" applyProtection="1">
      <alignment horizontal="center" vertical="center" wrapText="1"/>
      <protection locked="0"/>
    </xf>
    <xf numFmtId="3" fontId="36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13" borderId="3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3" fontId="8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52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4" fillId="2" borderId="0" xfId="0" applyFont="1" applyFill="1"/>
    <xf numFmtId="0" fontId="8" fillId="2" borderId="0" xfId="0" applyFont="1" applyFill="1" applyAlignment="1">
      <alignment horizontal="left" indent="1"/>
    </xf>
    <xf numFmtId="3" fontId="14" fillId="4" borderId="15" xfId="0" applyNumberFormat="1" applyFont="1" applyFill="1" applyBorder="1"/>
    <xf numFmtId="42" fontId="8" fillId="4" borderId="13" xfId="0" applyNumberFormat="1" applyFont="1" applyFill="1" applyBorder="1" applyAlignment="1">
      <alignment horizontal="center" vertical="center"/>
    </xf>
    <xf numFmtId="3" fontId="8" fillId="4" borderId="15" xfId="0" applyNumberFormat="1" applyFont="1" applyFill="1" applyBorder="1"/>
    <xf numFmtId="42" fontId="8" fillId="4" borderId="13" xfId="0" applyNumberFormat="1" applyFont="1" applyFill="1" applyBorder="1"/>
    <xf numFmtId="0" fontId="2" fillId="0" borderId="13" xfId="0" applyFont="1" applyBorder="1" applyAlignment="1">
      <alignment horizontal="center"/>
    </xf>
    <xf numFmtId="169" fontId="2" fillId="0" borderId="13" xfId="0" applyNumberFormat="1" applyFont="1" applyBorder="1" applyAlignment="1">
      <alignment horizontal="center" vertical="center"/>
    </xf>
    <xf numFmtId="0" fontId="63" fillId="0" borderId="0" xfId="0" applyFont="1" applyProtection="1">
      <protection locked="0"/>
    </xf>
    <xf numFmtId="0" fontId="41" fillId="0" borderId="0" xfId="0" applyFont="1" applyAlignment="1">
      <alignment wrapText="1"/>
    </xf>
    <xf numFmtId="0" fontId="0" fillId="0" borderId="0" xfId="0"/>
    <xf numFmtId="0" fontId="58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3" fillId="11" borderId="32" xfId="3" applyNumberFormat="1" applyFont="1" applyFill="1" applyBorder="1" applyAlignment="1">
      <alignment vertical="center"/>
    </xf>
    <xf numFmtId="0" fontId="0" fillId="0" borderId="31" xfId="0" applyBorder="1"/>
    <xf numFmtId="0" fontId="4" fillId="2" borderId="15" xfId="3" applyFont="1" applyFill="1" applyBorder="1" applyAlignment="1" applyProtection="1">
      <alignment vertical="center"/>
      <protection locked="0"/>
    </xf>
    <xf numFmtId="0" fontId="39" fillId="0" borderId="15" xfId="0" applyFont="1" applyBorder="1"/>
    <xf numFmtId="164" fontId="42" fillId="0" borderId="0" xfId="2" applyNumberFormat="1" applyFont="1" applyBorder="1" applyAlignment="1" applyProtection="1">
      <alignment vertical="center"/>
      <protection locked="0"/>
    </xf>
    <xf numFmtId="0" fontId="40" fillId="5" borderId="32" xfId="0" applyFont="1" applyFill="1" applyBorder="1" applyAlignment="1" applyProtection="1">
      <alignment horizontal="center" vertical="center"/>
      <protection locked="0"/>
    </xf>
    <xf numFmtId="0" fontId="40" fillId="5" borderId="1" xfId="0" applyFont="1" applyFill="1" applyBorder="1" applyAlignment="1">
      <alignment horizontal="center" vertical="center"/>
    </xf>
    <xf numFmtId="0" fontId="0" fillId="5" borderId="31" xfId="0" applyFill="1" applyBorder="1"/>
    <xf numFmtId="0" fontId="40" fillId="5" borderId="3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7" fillId="0" borderId="15" xfId="0" applyFont="1" applyBorder="1" applyAlignment="1" applyProtection="1">
      <alignment horizontal="center" vertical="center"/>
      <protection locked="0"/>
    </xf>
    <xf numFmtId="0" fontId="57" fillId="0" borderId="15" xfId="0" applyFont="1" applyBorder="1" applyAlignment="1">
      <alignment horizontal="center" vertical="center"/>
    </xf>
    <xf numFmtId="0" fontId="3" fillId="5" borderId="32" xfId="3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3" fillId="10" borderId="32" xfId="3" applyFont="1" applyFill="1" applyBorder="1" applyAlignment="1" applyProtection="1">
      <alignment horizontal="center" vertical="center"/>
      <protection hidden="1"/>
    </xf>
    <xf numFmtId="0" fontId="39" fillId="10" borderId="31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Protection="1">
      <protection hidden="1"/>
    </xf>
    <xf numFmtId="0" fontId="0" fillId="0" borderId="15" xfId="0" applyBorder="1" applyProtection="1">
      <protection hidden="1"/>
    </xf>
    <xf numFmtId="0" fontId="3" fillId="10" borderId="31" xfId="3" applyFont="1" applyFill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22" fillId="0" borderId="40" xfId="3" applyFont="1" applyBorder="1" applyProtection="1">
      <protection hidden="1"/>
    </xf>
    <xf numFmtId="0" fontId="22" fillId="0" borderId="15" xfId="3" applyFont="1" applyBorder="1" applyProtection="1">
      <protection hidden="1"/>
    </xf>
    <xf numFmtId="0" fontId="14" fillId="5" borderId="32" xfId="3" applyFont="1" applyFill="1" applyBorder="1" applyAlignment="1">
      <alignment horizontal="center" vertical="center" wrapText="1"/>
    </xf>
    <xf numFmtId="3" fontId="23" fillId="6" borderId="32" xfId="2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0" fillId="5" borderId="44" xfId="0" applyFont="1" applyFill="1" applyBorder="1" applyAlignment="1" applyProtection="1">
      <alignment horizontal="right" vertical="center" wrapText="1"/>
      <protection locked="0"/>
    </xf>
    <xf numFmtId="0" fontId="0" fillId="0" borderId="10" xfId="0" applyBorder="1" applyAlignment="1">
      <alignment horizontal="right" vertical="center" wrapText="1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0" borderId="0" xfId="0" applyFont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1" xfId="0" applyBorder="1" applyProtection="1">
      <protection locked="0"/>
    </xf>
  </cellXfs>
  <cellStyles count="8">
    <cellStyle name="Comma" xfId="1" builtinId="3"/>
    <cellStyle name="Comma 2" xfId="5" xr:uid="{00000000-0005-0000-0000-000001000000}"/>
    <cellStyle name="Currency 2" xfId="6" xr:uid="{00000000-0005-0000-0000-000002000000}"/>
    <cellStyle name="Normal" xfId="0" builtinId="0"/>
    <cellStyle name="Normal 2" xfId="4" xr:uid="{00000000-0005-0000-0000-000004000000}"/>
    <cellStyle name="Normal_LAFORMS" xfId="3" xr:uid="{00000000-0005-0000-0000-000005000000}"/>
    <cellStyle name="Percent" xfId="2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0000FF"/>
      <color rgb="FF3333FF"/>
      <color rgb="FFFFFF99"/>
      <color rgb="FF0070C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7</xdr:row>
      <xdr:rowOff>83820</xdr:rowOff>
    </xdr:from>
    <xdr:to>
      <xdr:col>2</xdr:col>
      <xdr:colOff>0</xdr:colOff>
      <xdr:row>7</xdr:row>
      <xdr:rowOff>83820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21945" y="1550670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8</xdr:row>
      <xdr:rowOff>83820</xdr:rowOff>
    </xdr:from>
    <xdr:to>
      <xdr:col>2</xdr:col>
      <xdr:colOff>0</xdr:colOff>
      <xdr:row>8</xdr:row>
      <xdr:rowOff>83820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21945" y="1731645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13</xdr:row>
      <xdr:rowOff>83820</xdr:rowOff>
    </xdr:from>
    <xdr:to>
      <xdr:col>2</xdr:col>
      <xdr:colOff>0</xdr:colOff>
      <xdr:row>13</xdr:row>
      <xdr:rowOff>83820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21945" y="2455545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14</xdr:row>
      <xdr:rowOff>83820</xdr:rowOff>
    </xdr:from>
    <xdr:to>
      <xdr:col>2</xdr:col>
      <xdr:colOff>0</xdr:colOff>
      <xdr:row>14</xdr:row>
      <xdr:rowOff>83820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21945" y="2636520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31</xdr:row>
      <xdr:rowOff>83820</xdr:rowOff>
    </xdr:from>
    <xdr:to>
      <xdr:col>2</xdr:col>
      <xdr:colOff>0</xdr:colOff>
      <xdr:row>31</xdr:row>
      <xdr:rowOff>83820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321945" y="5351145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32</xdr:row>
      <xdr:rowOff>83820</xdr:rowOff>
    </xdr:from>
    <xdr:to>
      <xdr:col>2</xdr:col>
      <xdr:colOff>0</xdr:colOff>
      <xdr:row>32</xdr:row>
      <xdr:rowOff>83820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321945" y="5532120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34</xdr:row>
      <xdr:rowOff>83820</xdr:rowOff>
    </xdr:from>
    <xdr:to>
      <xdr:col>2</xdr:col>
      <xdr:colOff>0</xdr:colOff>
      <xdr:row>34</xdr:row>
      <xdr:rowOff>83820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321945" y="5894070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42</xdr:row>
      <xdr:rowOff>83820</xdr:rowOff>
    </xdr:from>
    <xdr:to>
      <xdr:col>2</xdr:col>
      <xdr:colOff>0</xdr:colOff>
      <xdr:row>42</xdr:row>
      <xdr:rowOff>83820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321945" y="8989695"/>
          <a:ext cx="2400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OA\Recap%20FY18\recap_template_gener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ap%20FY-17,%20New\recap17_unprot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er\AppData\Local\Microsoft\Windows\Temporary%20Internet%20Files\Content.Outlook\YLEUBB2L\recap18_unprot2_brookline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START"/>
      <sheetName val="Revised-Omitted Values"/>
      <sheetName val="LA-13A"/>
      <sheetName val="Audited PersProp"/>
      <sheetName val="LA13 Growth"/>
      <sheetName val="TAX TITLE FORM"/>
      <sheetName val="A-1"/>
      <sheetName val="A-2(1ST)"/>
      <sheetName val="A-2(2ND)"/>
      <sheetName val="A-2(3RD)"/>
      <sheetName val="A-2(4TH)"/>
      <sheetName val="A-2(5TH)"/>
      <sheetName val="A-2(6TH)"/>
      <sheetName val="A-2(7TH)"/>
      <sheetName val="A-3"/>
      <sheetName val="A-4"/>
      <sheetName val="B-1"/>
      <sheetName val="B-2"/>
      <sheetName val="OL-1"/>
      <sheetName val="DE-1"/>
      <sheetName val="LA4"/>
      <sheetName val="LA7"/>
      <sheetName val="CHAPTER 200"/>
      <sheetName val="LEVYLIMIT"/>
      <sheetName val="OPTIONS TABLE OLD"/>
      <sheetName val="OPTIONS TABLE"/>
      <sheetName val="LA5 INPUT"/>
      <sheetName val="LA5 FORM"/>
      <sheetName val="RECAP PAGE 1"/>
      <sheetName val="RECAP PAGE 2"/>
      <sheetName val="RECAP PAGE 3"/>
      <sheetName val="RECAP PAGE 4"/>
      <sheetName val="PRO FORMA PAGE 1"/>
      <sheetName val="PRO FORMA PAGE 2"/>
      <sheetName val="PRO FORMA PAGE 3"/>
      <sheetName val="PRO FORMA PAGE 4"/>
      <sheetName val="cell names"/>
      <sheetName val="Sheet2"/>
      <sheetName val="Sheet3"/>
      <sheetName val="Sheet4"/>
      <sheetName val="Module2"/>
      <sheetName val="Module15"/>
      <sheetName val="Module30"/>
      <sheetName val="Module35"/>
      <sheetName val="Module37"/>
      <sheetName val="Module38"/>
      <sheetName val="Module42"/>
      <sheetName val="Module44"/>
      <sheetName val="Module46"/>
      <sheetName val="Module45"/>
      <sheetName val="Module47"/>
      <sheetName val="Module48"/>
      <sheetName val="Module49"/>
      <sheetName val="Module50"/>
      <sheetName val="Module51"/>
      <sheetName val="Module52"/>
      <sheetName val="Module53"/>
      <sheetName val="Sheet6"/>
      <sheetName val="Sheet1"/>
    </sheetNames>
    <sheetDataSet>
      <sheetData sheetId="0" refreshError="1"/>
      <sheetData sheetId="1" refreshError="1">
        <row r="56">
          <cell r="C56" t="str">
            <v>CITY/TOWN/DISTRICT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32">
          <cell r="G32">
            <v>0</v>
          </cell>
        </row>
      </sheetData>
      <sheetData sheetId="7" refreshError="1">
        <row r="25">
          <cell r="I25">
            <v>0</v>
          </cell>
        </row>
      </sheetData>
      <sheetData sheetId="8" refreshError="1">
        <row r="25">
          <cell r="J25">
            <v>0</v>
          </cell>
        </row>
      </sheetData>
      <sheetData sheetId="9" refreshError="1">
        <row r="25">
          <cell r="J25">
            <v>0</v>
          </cell>
        </row>
      </sheetData>
      <sheetData sheetId="10" refreshError="1">
        <row r="25">
          <cell r="J25">
            <v>0</v>
          </cell>
        </row>
      </sheetData>
      <sheetData sheetId="11" refreshError="1">
        <row r="25">
          <cell r="J25">
            <v>0</v>
          </cell>
        </row>
      </sheetData>
      <sheetData sheetId="12" refreshError="1">
        <row r="25">
          <cell r="J25">
            <v>0</v>
          </cell>
        </row>
      </sheetData>
      <sheetData sheetId="13" refreshError="1">
        <row r="25">
          <cell r="J25">
            <v>0</v>
          </cell>
        </row>
      </sheetData>
      <sheetData sheetId="14" refreshError="1">
        <row r="25">
          <cell r="J25">
            <v>0</v>
          </cell>
        </row>
      </sheetData>
      <sheetData sheetId="15" refreshError="1"/>
      <sheetData sheetId="16" refreshError="1">
        <row r="24">
          <cell r="K24">
            <v>0</v>
          </cell>
        </row>
        <row r="41">
          <cell r="K41">
            <v>0</v>
          </cell>
        </row>
      </sheetData>
      <sheetData sheetId="17" refreshError="1">
        <row r="22">
          <cell r="I22">
            <v>0</v>
          </cell>
        </row>
        <row r="42">
          <cell r="I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7">
          <cell r="G7">
            <v>0</v>
          </cell>
        </row>
        <row r="48">
          <cell r="B48" t="str">
            <v>ABINGTON</v>
          </cell>
          <cell r="C48">
            <v>1</v>
          </cell>
          <cell r="D48">
            <v>0.86237700000000006</v>
          </cell>
          <cell r="E48">
            <v>0.80653999999999992</v>
          </cell>
        </row>
        <row r="49">
          <cell r="B49" t="str">
            <v>ACTON</v>
          </cell>
          <cell r="C49">
            <v>2</v>
          </cell>
          <cell r="D49">
            <v>0.881575</v>
          </cell>
          <cell r="E49">
            <v>0.76762600000000003</v>
          </cell>
        </row>
        <row r="50">
          <cell r="B50" t="str">
            <v>ACUSHNET</v>
          </cell>
          <cell r="C50">
            <v>3</v>
          </cell>
          <cell r="D50">
            <v>0.89157799999999998</v>
          </cell>
          <cell r="E50">
            <v>0.77051700000000001</v>
          </cell>
        </row>
        <row r="51">
          <cell r="B51" t="str">
            <v>ADAMS</v>
          </cell>
          <cell r="C51">
            <v>4</v>
          </cell>
          <cell r="D51">
            <v>0.78915199999999996</v>
          </cell>
          <cell r="E51">
            <v>0.736348</v>
          </cell>
        </row>
        <row r="52">
          <cell r="B52" t="str">
            <v>AGAWAM</v>
          </cell>
          <cell r="C52">
            <v>5</v>
          </cell>
          <cell r="D52">
            <v>0.60968</v>
          </cell>
          <cell r="E52">
            <v>0.59331699999999998</v>
          </cell>
        </row>
        <row r="53">
          <cell r="B53" t="str">
            <v>ALFORD</v>
          </cell>
          <cell r="C53">
            <v>6</v>
          </cell>
          <cell r="D53">
            <v>0.97787299999999999</v>
          </cell>
          <cell r="E53">
            <v>0.81691999999999998</v>
          </cell>
        </row>
        <row r="54">
          <cell r="B54" t="str">
            <v>AMESBURY</v>
          </cell>
          <cell r="C54">
            <v>7</v>
          </cell>
          <cell r="D54">
            <v>0.84048599999999996</v>
          </cell>
          <cell r="E54">
            <v>0.73990999999999996</v>
          </cell>
        </row>
        <row r="55">
          <cell r="B55" t="str">
            <v>AMHERST</v>
          </cell>
          <cell r="C55">
            <v>8</v>
          </cell>
          <cell r="D55">
            <v>0.89779200000000003</v>
          </cell>
          <cell r="E55">
            <v>0.82503000000000004</v>
          </cell>
        </row>
        <row r="56">
          <cell r="B56" t="str">
            <v>ANDOVER</v>
          </cell>
          <cell r="C56">
            <v>9</v>
          </cell>
          <cell r="D56">
            <v>0.709148</v>
          </cell>
          <cell r="E56">
            <v>0.60573399999999999</v>
          </cell>
        </row>
        <row r="57">
          <cell r="B57" t="str">
            <v>ARLINGTON</v>
          </cell>
          <cell r="C57">
            <v>10</v>
          </cell>
          <cell r="D57">
            <v>0.93994500000000003</v>
          </cell>
          <cell r="E57">
            <v>0.90004999999999991</v>
          </cell>
        </row>
        <row r="58">
          <cell r="B58" t="str">
            <v>ASHBURNHAM</v>
          </cell>
          <cell r="C58">
            <v>11</v>
          </cell>
          <cell r="D58">
            <v>0.95076099999999997</v>
          </cell>
          <cell r="E58">
            <v>0.87587800000000005</v>
          </cell>
        </row>
        <row r="59">
          <cell r="B59" t="str">
            <v>ASHBY</v>
          </cell>
          <cell r="C59">
            <v>12</v>
          </cell>
          <cell r="D59">
            <v>0.93049499999999996</v>
          </cell>
          <cell r="E59">
            <v>0.88980999999999999</v>
          </cell>
        </row>
        <row r="60">
          <cell r="B60" t="str">
            <v>ASHFIELD</v>
          </cell>
          <cell r="C60">
            <v>13</v>
          </cell>
          <cell r="D60">
            <v>0.90896500000000002</v>
          </cell>
          <cell r="E60">
            <v>0.67284999999999995</v>
          </cell>
        </row>
        <row r="61">
          <cell r="B61" t="str">
            <v>ASHLAND</v>
          </cell>
          <cell r="C61">
            <v>14</v>
          </cell>
          <cell r="D61">
            <v>0.90719899999999998</v>
          </cell>
          <cell r="E61">
            <v>0.73710999999999993</v>
          </cell>
        </row>
        <row r="62">
          <cell r="B62" t="str">
            <v>ATHOL</v>
          </cell>
          <cell r="C62">
            <v>15</v>
          </cell>
          <cell r="D62">
            <v>0.84861799999999998</v>
          </cell>
          <cell r="E62">
            <v>0.77581699999999998</v>
          </cell>
        </row>
        <row r="63">
          <cell r="B63" t="str">
            <v>ATTLEBORO</v>
          </cell>
          <cell r="C63">
            <v>16</v>
          </cell>
          <cell r="D63">
            <v>0.75247799999999998</v>
          </cell>
          <cell r="E63">
            <v>0.59548999999999996</v>
          </cell>
        </row>
        <row r="64">
          <cell r="B64" t="str">
            <v>AUBURN</v>
          </cell>
          <cell r="C64">
            <v>17</v>
          </cell>
          <cell r="D64">
            <v>0.64028800000000008</v>
          </cell>
          <cell r="E64">
            <v>0.54357699999999998</v>
          </cell>
        </row>
        <row r="65">
          <cell r="B65" t="str">
            <v>AVON</v>
          </cell>
          <cell r="C65">
            <v>18</v>
          </cell>
          <cell r="D65">
            <v>0.38032100000000002</v>
          </cell>
          <cell r="E65">
            <v>0.33462999999999998</v>
          </cell>
        </row>
        <row r="66">
          <cell r="B66" t="str">
            <v>AYER</v>
          </cell>
          <cell r="C66">
            <v>19</v>
          </cell>
          <cell r="D66">
            <v>0.461036</v>
          </cell>
          <cell r="E66">
            <v>0.27859499999999998</v>
          </cell>
        </row>
        <row r="67">
          <cell r="B67" t="str">
            <v>BARNSTABLE</v>
          </cell>
          <cell r="C67">
            <v>20</v>
          </cell>
          <cell r="D67">
            <v>0.87956100000000004</v>
          </cell>
          <cell r="E67">
            <v>0.78009899999999999</v>
          </cell>
        </row>
        <row r="68">
          <cell r="B68" t="str">
            <v>BARRE</v>
          </cell>
          <cell r="C68">
            <v>21</v>
          </cell>
          <cell r="D68">
            <v>0.839642</v>
          </cell>
          <cell r="E68">
            <v>0.66581900000000005</v>
          </cell>
        </row>
        <row r="69">
          <cell r="B69" t="str">
            <v>BECKET</v>
          </cell>
          <cell r="C69">
            <v>22</v>
          </cell>
          <cell r="D69">
            <v>0.90436499999999997</v>
          </cell>
          <cell r="E69">
            <v>0.82822999999999991</v>
          </cell>
        </row>
        <row r="70">
          <cell r="B70" t="str">
            <v>BEDFORD</v>
          </cell>
          <cell r="C70">
            <v>23</v>
          </cell>
          <cell r="D70">
            <v>0.62831899999999996</v>
          </cell>
          <cell r="E70">
            <v>0.405501</v>
          </cell>
        </row>
        <row r="71">
          <cell r="B71" t="str">
            <v>BELCHERTOWN</v>
          </cell>
          <cell r="C71">
            <v>24</v>
          </cell>
          <cell r="D71">
            <v>0.92487900000000001</v>
          </cell>
          <cell r="E71">
            <v>0.81638999999999995</v>
          </cell>
        </row>
        <row r="72">
          <cell r="B72" t="str">
            <v>BELLINGHAM</v>
          </cell>
          <cell r="C72">
            <v>25</v>
          </cell>
          <cell r="D72">
            <v>0.637239</v>
          </cell>
          <cell r="E72">
            <v>0.58780999999999994</v>
          </cell>
        </row>
        <row r="73">
          <cell r="B73" t="str">
            <v>BELMONT</v>
          </cell>
          <cell r="C73">
            <v>26</v>
          </cell>
          <cell r="D73">
            <v>0.94736000000000009</v>
          </cell>
          <cell r="E73">
            <v>0.90477400000000008</v>
          </cell>
        </row>
        <row r="74">
          <cell r="B74" t="str">
            <v>BERKLEY</v>
          </cell>
          <cell r="C74">
            <v>27</v>
          </cell>
          <cell r="D74">
            <v>0.94454400000000005</v>
          </cell>
          <cell r="E74">
            <v>0.81688999999999989</v>
          </cell>
        </row>
        <row r="75">
          <cell r="B75" t="str">
            <v>BERLIN</v>
          </cell>
          <cell r="C75">
            <v>28</v>
          </cell>
          <cell r="D75">
            <v>0.62434000000000001</v>
          </cell>
          <cell r="E75">
            <v>0.62434000000000001</v>
          </cell>
        </row>
        <row r="76">
          <cell r="B76" t="str">
            <v>BERNARDSTON</v>
          </cell>
          <cell r="C76">
            <v>29</v>
          </cell>
          <cell r="D76">
            <v>0.85049800000000009</v>
          </cell>
          <cell r="E76">
            <v>0.75953999999999988</v>
          </cell>
        </row>
        <row r="77">
          <cell r="B77" t="str">
            <v>BEVERLY</v>
          </cell>
          <cell r="C77">
            <v>30</v>
          </cell>
          <cell r="D77">
            <v>0.76625900000000002</v>
          </cell>
          <cell r="E77">
            <v>0.71516999999999997</v>
          </cell>
        </row>
        <row r="78">
          <cell r="B78" t="str">
            <v>BILLERICA</v>
          </cell>
          <cell r="C78">
            <v>31</v>
          </cell>
          <cell r="D78">
            <v>0.55596000000000001</v>
          </cell>
          <cell r="E78">
            <v>0.50244800000000001</v>
          </cell>
        </row>
        <row r="79">
          <cell r="B79" t="str">
            <v>BLACKSTONE</v>
          </cell>
          <cell r="C79">
            <v>32</v>
          </cell>
          <cell r="D79">
            <v>0.79542800000000002</v>
          </cell>
          <cell r="E79">
            <v>0.64993999999999996</v>
          </cell>
        </row>
        <row r="80">
          <cell r="B80" t="str">
            <v>BLANDFORD</v>
          </cell>
          <cell r="C80">
            <v>33</v>
          </cell>
          <cell r="D80">
            <v>0.80002499999999999</v>
          </cell>
          <cell r="E80">
            <v>0.73006000000000004</v>
          </cell>
        </row>
        <row r="81">
          <cell r="B81" t="str">
            <v>BOLTON</v>
          </cell>
          <cell r="C81">
            <v>34</v>
          </cell>
          <cell r="D81">
            <v>0.92403000000000002</v>
          </cell>
          <cell r="E81">
            <v>0.69858999999999993</v>
          </cell>
        </row>
        <row r="82">
          <cell r="B82" t="str">
            <v>BOSTON</v>
          </cell>
          <cell r="C82">
            <v>35</v>
          </cell>
          <cell r="D82">
            <v>0.394181</v>
          </cell>
          <cell r="E82">
            <v>0.30080499999999999</v>
          </cell>
        </row>
        <row r="83">
          <cell r="B83" t="str">
            <v>BOURNE</v>
          </cell>
          <cell r="C83">
            <v>36</v>
          </cell>
          <cell r="D83">
            <v>0.87653999999999999</v>
          </cell>
          <cell r="E83">
            <v>0.77788999999999997</v>
          </cell>
        </row>
        <row r="84">
          <cell r="B84" t="str">
            <v>BOXBOROUGH</v>
          </cell>
          <cell r="C84">
            <v>37</v>
          </cell>
          <cell r="D84">
            <v>0.76090100000000005</v>
          </cell>
          <cell r="E84">
            <v>0.64218000000000008</v>
          </cell>
        </row>
        <row r="85">
          <cell r="B85" t="str">
            <v>BOXFORD</v>
          </cell>
          <cell r="C85">
            <v>38</v>
          </cell>
          <cell r="D85">
            <v>0.96807199999999993</v>
          </cell>
          <cell r="E85">
            <v>0.91203999999999996</v>
          </cell>
        </row>
        <row r="86">
          <cell r="B86" t="str">
            <v>BOYLSTON</v>
          </cell>
          <cell r="C86">
            <v>39</v>
          </cell>
          <cell r="D86">
            <v>0.90801500000000002</v>
          </cell>
          <cell r="E86">
            <v>0.79512399999999994</v>
          </cell>
        </row>
        <row r="87">
          <cell r="B87" t="str">
            <v>BRAINTREE</v>
          </cell>
          <cell r="C87">
            <v>40</v>
          </cell>
          <cell r="D87">
            <v>0.60762899999999997</v>
          </cell>
          <cell r="E87">
            <v>0.54317700000000002</v>
          </cell>
        </row>
        <row r="88">
          <cell r="B88" t="str">
            <v>BREWSTER</v>
          </cell>
          <cell r="C88">
            <v>41</v>
          </cell>
          <cell r="D88">
            <v>0.94092500000000001</v>
          </cell>
          <cell r="E88">
            <v>0.80412000000000006</v>
          </cell>
        </row>
        <row r="89">
          <cell r="B89" t="str">
            <v>BRIDGEWATER</v>
          </cell>
          <cell r="C89">
            <v>42</v>
          </cell>
          <cell r="D89">
            <v>0.86235499999999998</v>
          </cell>
          <cell r="E89">
            <v>0.83769900000000008</v>
          </cell>
        </row>
        <row r="90">
          <cell r="B90" t="str">
            <v>BRIMFIELD</v>
          </cell>
          <cell r="C90">
            <v>43</v>
          </cell>
          <cell r="D90">
            <v>0.87032600000000004</v>
          </cell>
          <cell r="E90">
            <v>0.74543999999999999</v>
          </cell>
        </row>
        <row r="91">
          <cell r="B91" t="str">
            <v>BROCKTON</v>
          </cell>
          <cell r="C91">
            <v>44</v>
          </cell>
          <cell r="D91">
            <v>0.67492699999999994</v>
          </cell>
          <cell r="E91">
            <v>0.62278800000000001</v>
          </cell>
        </row>
        <row r="92">
          <cell r="B92" t="str">
            <v>BROOKFIELD</v>
          </cell>
          <cell r="C92">
            <v>45</v>
          </cell>
          <cell r="D92">
            <v>0.92736599999999991</v>
          </cell>
          <cell r="E92">
            <v>0.83082899999999993</v>
          </cell>
        </row>
        <row r="93">
          <cell r="B93" t="str">
            <v>BROOKLINE</v>
          </cell>
          <cell r="C93">
            <v>46</v>
          </cell>
          <cell r="D93">
            <v>0.82857200000000009</v>
          </cell>
          <cell r="E93">
            <v>0.80708299999999999</v>
          </cell>
        </row>
        <row r="94">
          <cell r="B94" t="str">
            <v>BUCKLAND</v>
          </cell>
          <cell r="C94">
            <v>47</v>
          </cell>
          <cell r="D94">
            <v>0.81145500000000004</v>
          </cell>
          <cell r="E94">
            <v>0.61895</v>
          </cell>
        </row>
        <row r="95">
          <cell r="B95" t="str">
            <v>BURLINGTON</v>
          </cell>
          <cell r="C95">
            <v>48</v>
          </cell>
          <cell r="D95">
            <v>0.39156199999999997</v>
          </cell>
          <cell r="E95">
            <v>0.34424300000000002</v>
          </cell>
        </row>
        <row r="96">
          <cell r="B96" t="str">
            <v>CAMBRIDGE</v>
          </cell>
          <cell r="C96">
            <v>49</v>
          </cell>
          <cell r="D96">
            <v>0.34561500000000001</v>
          </cell>
          <cell r="E96">
            <v>0.34561500000000001</v>
          </cell>
        </row>
        <row r="97">
          <cell r="B97" t="str">
            <v>CANTON</v>
          </cell>
          <cell r="C97">
            <v>50</v>
          </cell>
          <cell r="D97">
            <v>0.63159300000000007</v>
          </cell>
          <cell r="E97">
            <v>0.60456600000000005</v>
          </cell>
        </row>
        <row r="98">
          <cell r="B98" t="str">
            <v>CARLISLE</v>
          </cell>
          <cell r="C98">
            <v>51</v>
          </cell>
          <cell r="D98">
            <v>0.98210400000000009</v>
          </cell>
          <cell r="E98">
            <v>0.96540000000000004</v>
          </cell>
        </row>
        <row r="99">
          <cell r="B99" t="str">
            <v>CARVER</v>
          </cell>
          <cell r="C99">
            <v>52</v>
          </cell>
          <cell r="D99">
            <v>0.73710200000000003</v>
          </cell>
          <cell r="E99">
            <v>0.64056999999999997</v>
          </cell>
        </row>
        <row r="100">
          <cell r="B100" t="str">
            <v>CHARLEMONT</v>
          </cell>
          <cell r="C100">
            <v>53</v>
          </cell>
          <cell r="D100">
            <v>0.84313800000000005</v>
          </cell>
          <cell r="E100">
            <v>0.83327899999999999</v>
          </cell>
        </row>
        <row r="101">
          <cell r="B101" t="str">
            <v>CHARLTON</v>
          </cell>
          <cell r="C101">
            <v>54</v>
          </cell>
          <cell r="D101">
            <v>0.85120400000000007</v>
          </cell>
          <cell r="E101">
            <v>0.72270100000000004</v>
          </cell>
        </row>
        <row r="102">
          <cell r="B102" t="str">
            <v>CHATHAM</v>
          </cell>
          <cell r="C102">
            <v>55</v>
          </cell>
          <cell r="D102">
            <v>0.93158799999999997</v>
          </cell>
          <cell r="E102">
            <v>0.87470899999999996</v>
          </cell>
        </row>
        <row r="103">
          <cell r="B103" t="str">
            <v>CHELMSFORD</v>
          </cell>
          <cell r="C103">
            <v>56</v>
          </cell>
          <cell r="D103">
            <v>0.80682299999999996</v>
          </cell>
          <cell r="E103">
            <v>0.71576300000000004</v>
          </cell>
        </row>
        <row r="104">
          <cell r="B104" t="str">
            <v>CHELSEA</v>
          </cell>
          <cell r="C104">
            <v>57</v>
          </cell>
          <cell r="D104">
            <v>0.491147</v>
          </cell>
          <cell r="E104">
            <v>0.34115299999999998</v>
          </cell>
        </row>
        <row r="105">
          <cell r="B105" t="str">
            <v>CHESHIRE</v>
          </cell>
          <cell r="C105">
            <v>58</v>
          </cell>
          <cell r="D105">
            <v>0.90477999999999992</v>
          </cell>
          <cell r="E105">
            <v>0.79564999999999997</v>
          </cell>
        </row>
        <row r="106">
          <cell r="B106" t="str">
            <v>CHESTER</v>
          </cell>
          <cell r="C106">
            <v>59</v>
          </cell>
          <cell r="D106">
            <v>0.90386300000000008</v>
          </cell>
          <cell r="E106">
            <v>0.65581</v>
          </cell>
        </row>
        <row r="107">
          <cell r="B107" t="str">
            <v>CHESTERFIELD</v>
          </cell>
          <cell r="C107">
            <v>60</v>
          </cell>
          <cell r="D107">
            <v>0.95305899999999999</v>
          </cell>
          <cell r="E107">
            <v>0.64391999999999994</v>
          </cell>
        </row>
        <row r="108">
          <cell r="B108" t="str">
            <v>CHICOPEE</v>
          </cell>
          <cell r="C108">
            <v>61</v>
          </cell>
          <cell r="D108">
            <v>0.61668900000000004</v>
          </cell>
          <cell r="E108">
            <v>0.61457000000000006</v>
          </cell>
        </row>
        <row r="109">
          <cell r="B109" t="str">
            <v>CHILMARK</v>
          </cell>
          <cell r="C109">
            <v>62</v>
          </cell>
          <cell r="D109">
            <v>0.9775069999999999</v>
          </cell>
          <cell r="E109">
            <v>0.65197999999999989</v>
          </cell>
        </row>
        <row r="110">
          <cell r="B110" t="str">
            <v>CLARKSBURG</v>
          </cell>
          <cell r="C110">
            <v>63</v>
          </cell>
          <cell r="D110">
            <v>0.96294899999999994</v>
          </cell>
          <cell r="E110">
            <v>0.90601399999999999</v>
          </cell>
        </row>
        <row r="111">
          <cell r="B111" t="str">
            <v>CLINTON</v>
          </cell>
          <cell r="C111">
            <v>64</v>
          </cell>
          <cell r="D111">
            <v>0.75501700000000005</v>
          </cell>
          <cell r="E111">
            <v>0.55848999999999993</v>
          </cell>
        </row>
        <row r="112">
          <cell r="B112" t="str">
            <v>COHASSET</v>
          </cell>
          <cell r="C112">
            <v>65</v>
          </cell>
          <cell r="D112">
            <v>0.92905199999999999</v>
          </cell>
          <cell r="E112">
            <v>0.86099900000000007</v>
          </cell>
        </row>
        <row r="113">
          <cell r="B113" t="str">
            <v>COLRAIN</v>
          </cell>
          <cell r="C113">
            <v>66</v>
          </cell>
          <cell r="D113">
            <v>0.83407799999999999</v>
          </cell>
          <cell r="E113">
            <v>0.62709000000000004</v>
          </cell>
        </row>
        <row r="114">
          <cell r="B114" t="str">
            <v>CONCORD</v>
          </cell>
          <cell r="C114">
            <v>67</v>
          </cell>
          <cell r="D114">
            <v>0.91395199999999999</v>
          </cell>
          <cell r="E114">
            <v>0.79066400000000003</v>
          </cell>
        </row>
        <row r="115">
          <cell r="B115" t="str">
            <v>CONWAY</v>
          </cell>
          <cell r="C115">
            <v>68</v>
          </cell>
          <cell r="D115">
            <v>0.91111799999999998</v>
          </cell>
          <cell r="E115">
            <v>0.72204999999999997</v>
          </cell>
        </row>
        <row r="116">
          <cell r="B116" t="str">
            <v>CUMMINGTON</v>
          </cell>
          <cell r="C116">
            <v>69</v>
          </cell>
          <cell r="D116">
            <v>0.88298599999999994</v>
          </cell>
          <cell r="E116">
            <v>0.51926000000000005</v>
          </cell>
        </row>
        <row r="117">
          <cell r="B117" t="str">
            <v>DALTON</v>
          </cell>
          <cell r="C117">
            <v>70</v>
          </cell>
          <cell r="D117">
            <v>0.84774699999999992</v>
          </cell>
          <cell r="E117">
            <v>0.67390000000000005</v>
          </cell>
        </row>
        <row r="118">
          <cell r="B118" t="str">
            <v>DANVERS</v>
          </cell>
          <cell r="C118">
            <v>71</v>
          </cell>
          <cell r="D118">
            <v>0.66403400000000001</v>
          </cell>
          <cell r="E118">
            <v>0.59908299999999992</v>
          </cell>
        </row>
        <row r="119">
          <cell r="B119" t="str">
            <v>DARTMOUTH</v>
          </cell>
          <cell r="C119">
            <v>72</v>
          </cell>
          <cell r="D119">
            <v>0.75210999999999995</v>
          </cell>
          <cell r="E119">
            <v>0.75210999999999995</v>
          </cell>
        </row>
        <row r="120">
          <cell r="B120" t="str">
            <v>DEDHAM</v>
          </cell>
          <cell r="C120">
            <v>73</v>
          </cell>
          <cell r="D120">
            <v>0.66275700000000004</v>
          </cell>
          <cell r="E120">
            <v>0.60134999999999994</v>
          </cell>
        </row>
        <row r="121">
          <cell r="B121" t="str">
            <v>DEERFIELD</v>
          </cell>
          <cell r="C121">
            <v>74</v>
          </cell>
          <cell r="D121">
            <v>0.75467299999999993</v>
          </cell>
          <cell r="E121">
            <v>0.67408699999999999</v>
          </cell>
        </row>
        <row r="122">
          <cell r="B122" t="str">
            <v>DENNIS</v>
          </cell>
          <cell r="C122">
            <v>75</v>
          </cell>
          <cell r="D122">
            <v>0.9221339999999999</v>
          </cell>
          <cell r="E122">
            <v>0.87854200000000005</v>
          </cell>
        </row>
        <row r="123">
          <cell r="B123" t="str">
            <v>DIGHTON</v>
          </cell>
          <cell r="C123">
            <v>76</v>
          </cell>
          <cell r="D123">
            <v>0.76162999999999992</v>
          </cell>
          <cell r="E123">
            <v>0.56674000000000002</v>
          </cell>
        </row>
        <row r="124">
          <cell r="B124" t="str">
            <v>DOUGLAS</v>
          </cell>
          <cell r="C124">
            <v>77</v>
          </cell>
          <cell r="D124">
            <v>0.93030000000000002</v>
          </cell>
          <cell r="E124">
            <v>0.89834000000000003</v>
          </cell>
        </row>
        <row r="125">
          <cell r="B125" t="str">
            <v>DOVER</v>
          </cell>
          <cell r="C125">
            <v>78</v>
          </cell>
          <cell r="D125">
            <v>0.97390500000000002</v>
          </cell>
          <cell r="E125">
            <v>0.94532300000000002</v>
          </cell>
        </row>
        <row r="126">
          <cell r="B126" t="str">
            <v>DRACUT</v>
          </cell>
          <cell r="C126">
            <v>79</v>
          </cell>
          <cell r="D126">
            <v>0.90421600000000002</v>
          </cell>
          <cell r="E126">
            <v>0.82710800000000007</v>
          </cell>
        </row>
        <row r="127">
          <cell r="B127" t="str">
            <v>DUDLEY</v>
          </cell>
          <cell r="C127">
            <v>80</v>
          </cell>
          <cell r="D127">
            <v>0.92291999999999996</v>
          </cell>
          <cell r="E127">
            <v>0.80998000000000003</v>
          </cell>
        </row>
        <row r="128">
          <cell r="B128" t="str">
            <v>DUNSTABLE</v>
          </cell>
          <cell r="C128">
            <v>81</v>
          </cell>
          <cell r="D128">
            <v>0.96847899999999998</v>
          </cell>
          <cell r="E128">
            <v>0.82629000000000008</v>
          </cell>
        </row>
        <row r="129">
          <cell r="B129" t="str">
            <v>DUXBURY</v>
          </cell>
          <cell r="C129">
            <v>82</v>
          </cell>
          <cell r="D129">
            <v>0.95828500000000005</v>
          </cell>
          <cell r="E129">
            <v>0.90149000000000001</v>
          </cell>
        </row>
        <row r="130">
          <cell r="B130" t="str">
            <v>EAST BRIDGEWATER</v>
          </cell>
          <cell r="C130">
            <v>83</v>
          </cell>
          <cell r="D130">
            <v>0.88840399999999997</v>
          </cell>
          <cell r="E130">
            <v>0.67930000000000001</v>
          </cell>
        </row>
        <row r="131">
          <cell r="B131" t="str">
            <v>EAST BROOKFIELD</v>
          </cell>
          <cell r="C131">
            <v>84</v>
          </cell>
          <cell r="D131">
            <v>0.89869500000000002</v>
          </cell>
          <cell r="E131">
            <v>0.85202</v>
          </cell>
        </row>
        <row r="132">
          <cell r="B132" t="str">
            <v>EAST LONGMEADOW</v>
          </cell>
          <cell r="C132">
            <v>85</v>
          </cell>
          <cell r="D132">
            <v>0.82036799999999999</v>
          </cell>
          <cell r="E132">
            <v>0.64876</v>
          </cell>
        </row>
        <row r="133">
          <cell r="B133" t="str">
            <v>EASTHAM</v>
          </cell>
          <cell r="C133">
            <v>86</v>
          </cell>
          <cell r="D133">
            <v>0.96121100000000004</v>
          </cell>
          <cell r="E133">
            <v>0.90822999999999998</v>
          </cell>
        </row>
        <row r="134">
          <cell r="B134" t="str">
            <v>EASTHAMPTON</v>
          </cell>
          <cell r="C134">
            <v>87</v>
          </cell>
          <cell r="D134">
            <v>0.86834299999999998</v>
          </cell>
          <cell r="E134">
            <v>0.78367999999999993</v>
          </cell>
        </row>
        <row r="135">
          <cell r="B135" t="str">
            <v>EASTON</v>
          </cell>
          <cell r="C135">
            <v>88</v>
          </cell>
          <cell r="D135">
            <v>0.86852400000000007</v>
          </cell>
          <cell r="E135">
            <v>0.82614500000000002</v>
          </cell>
        </row>
        <row r="136">
          <cell r="B136" t="str">
            <v>EDGARTOWN</v>
          </cell>
          <cell r="C136">
            <v>89</v>
          </cell>
          <cell r="D136">
            <v>0.930257</v>
          </cell>
          <cell r="E136">
            <v>0.80921999999999994</v>
          </cell>
        </row>
        <row r="137">
          <cell r="B137" t="str">
            <v>EGREMONT</v>
          </cell>
          <cell r="C137">
            <v>90</v>
          </cell>
          <cell r="D137">
            <v>0.94469099999999995</v>
          </cell>
          <cell r="E137">
            <v>0.71784000000000003</v>
          </cell>
        </row>
        <row r="138">
          <cell r="B138" t="str">
            <v>ERVING</v>
          </cell>
          <cell r="C138">
            <v>91</v>
          </cell>
          <cell r="D138">
            <v>8.9801000000000006E-2</v>
          </cell>
          <cell r="E138">
            <v>5.8616000000000001E-2</v>
          </cell>
        </row>
        <row r="139">
          <cell r="B139" t="str">
            <v>ESSEX</v>
          </cell>
          <cell r="C139">
            <v>92</v>
          </cell>
          <cell r="D139">
            <v>0.8956050000000001</v>
          </cell>
          <cell r="E139">
            <v>0.81592500000000001</v>
          </cell>
        </row>
        <row r="140">
          <cell r="B140" t="str">
            <v>EVERETT</v>
          </cell>
          <cell r="C140">
            <v>93</v>
          </cell>
          <cell r="D140">
            <v>0.39030199999999998</v>
          </cell>
          <cell r="E140">
            <v>0.27457999999999999</v>
          </cell>
        </row>
        <row r="141">
          <cell r="B141" t="str">
            <v>FAIRHAVEN</v>
          </cell>
          <cell r="C141">
            <v>94</v>
          </cell>
          <cell r="D141">
            <v>0.74437900000000001</v>
          </cell>
          <cell r="E141">
            <v>0.70933499999999994</v>
          </cell>
        </row>
        <row r="142">
          <cell r="B142" t="str">
            <v>FALL RIVER</v>
          </cell>
          <cell r="C142">
            <v>95</v>
          </cell>
          <cell r="D142">
            <v>0.606653</v>
          </cell>
          <cell r="E142">
            <v>0.51999299999999993</v>
          </cell>
        </row>
        <row r="143">
          <cell r="B143" t="str">
            <v>FALMOUTH</v>
          </cell>
          <cell r="C143">
            <v>96</v>
          </cell>
          <cell r="D143">
            <v>0.91732600000000009</v>
          </cell>
          <cell r="E143">
            <v>0.77559</v>
          </cell>
        </row>
        <row r="144">
          <cell r="B144" t="str">
            <v>FITCHBURG</v>
          </cell>
          <cell r="C144">
            <v>97</v>
          </cell>
          <cell r="D144">
            <v>0.73338099999999995</v>
          </cell>
          <cell r="E144">
            <v>0.54874999999999996</v>
          </cell>
        </row>
        <row r="145">
          <cell r="B145" t="str">
            <v>FLORIDA</v>
          </cell>
          <cell r="C145">
            <v>98</v>
          </cell>
          <cell r="D145">
            <v>0.24088100000000001</v>
          </cell>
          <cell r="E145">
            <v>0.15765000000000001</v>
          </cell>
        </row>
        <row r="146">
          <cell r="B146" t="str">
            <v>FOXBOROUGH</v>
          </cell>
          <cell r="C146">
            <v>99</v>
          </cell>
          <cell r="D146">
            <v>0.73189599999999999</v>
          </cell>
          <cell r="E146">
            <v>0.67886999999999997</v>
          </cell>
        </row>
        <row r="147">
          <cell r="B147" t="str">
            <v>FRAMINGHAM</v>
          </cell>
          <cell r="C147">
            <v>100</v>
          </cell>
          <cell r="D147">
            <v>0.59898600000000002</v>
          </cell>
          <cell r="E147">
            <v>0.556535</v>
          </cell>
        </row>
        <row r="148">
          <cell r="B148" t="str">
            <v>FRANKLIN</v>
          </cell>
          <cell r="C148">
            <v>101</v>
          </cell>
          <cell r="D148">
            <v>0.79844899999999996</v>
          </cell>
          <cell r="E148">
            <v>0.76874500000000001</v>
          </cell>
        </row>
        <row r="149">
          <cell r="B149" t="str">
            <v>FREETOWN</v>
          </cell>
          <cell r="C149">
            <v>102</v>
          </cell>
          <cell r="D149">
            <v>0.72885299999999997</v>
          </cell>
          <cell r="E149">
            <v>0.57718999999999998</v>
          </cell>
        </row>
        <row r="150">
          <cell r="B150" t="str">
            <v>GARDNER</v>
          </cell>
          <cell r="C150">
            <v>103</v>
          </cell>
          <cell r="D150">
            <v>0.79413600000000006</v>
          </cell>
          <cell r="E150">
            <v>0.68747000000000003</v>
          </cell>
        </row>
        <row r="151">
          <cell r="B151" t="str">
            <v>AQUINNAH</v>
          </cell>
          <cell r="C151">
            <v>104</v>
          </cell>
          <cell r="D151">
            <v>0.973831</v>
          </cell>
          <cell r="E151">
            <v>0.60260000000000002</v>
          </cell>
        </row>
        <row r="152">
          <cell r="B152" t="str">
            <v>GEORGETOWN</v>
          </cell>
          <cell r="C152">
            <v>105</v>
          </cell>
          <cell r="D152">
            <v>0.91041399999999995</v>
          </cell>
          <cell r="E152">
            <v>0.85129599999999994</v>
          </cell>
        </row>
        <row r="153">
          <cell r="B153" t="str">
            <v>GILL</v>
          </cell>
          <cell r="C153">
            <v>106</v>
          </cell>
          <cell r="D153">
            <v>0.768729</v>
          </cell>
          <cell r="E153">
            <v>0.58255999999999997</v>
          </cell>
        </row>
        <row r="154">
          <cell r="B154" t="str">
            <v>GLOUCESTER</v>
          </cell>
          <cell r="C154">
            <v>107</v>
          </cell>
          <cell r="D154">
            <v>0.88812500000000005</v>
          </cell>
          <cell r="E154">
            <v>0.73695999999999995</v>
          </cell>
        </row>
        <row r="155">
          <cell r="B155" t="str">
            <v>GOSHEN</v>
          </cell>
          <cell r="C155">
            <v>108</v>
          </cell>
          <cell r="D155">
            <v>0.94008099999999994</v>
          </cell>
          <cell r="E155">
            <v>0.89541999999999999</v>
          </cell>
        </row>
        <row r="156">
          <cell r="B156" t="str">
            <v>GOSNOLD</v>
          </cell>
          <cell r="C156">
            <v>109</v>
          </cell>
          <cell r="D156">
            <v>0.98048299999999999</v>
          </cell>
          <cell r="E156">
            <v>0</v>
          </cell>
        </row>
        <row r="157">
          <cell r="B157" t="str">
            <v>GRAFTON</v>
          </cell>
          <cell r="C157">
            <v>110</v>
          </cell>
          <cell r="D157">
            <v>0.90787800000000007</v>
          </cell>
          <cell r="E157">
            <v>0.78843599999999991</v>
          </cell>
        </row>
        <row r="158">
          <cell r="B158" t="str">
            <v>GRANBY</v>
          </cell>
          <cell r="C158">
            <v>111</v>
          </cell>
          <cell r="D158">
            <v>0.91633900000000001</v>
          </cell>
          <cell r="E158">
            <v>0.88150600000000001</v>
          </cell>
        </row>
        <row r="159">
          <cell r="B159" t="str">
            <v>GRANVILLE</v>
          </cell>
          <cell r="C159">
            <v>112</v>
          </cell>
          <cell r="D159">
            <v>0.83117300000000005</v>
          </cell>
          <cell r="E159">
            <v>0.67849999999999999</v>
          </cell>
        </row>
        <row r="160">
          <cell r="B160" t="str">
            <v>GREAT BARRINGTON</v>
          </cell>
          <cell r="C160">
            <v>113</v>
          </cell>
          <cell r="D160">
            <v>0.78852500000000003</v>
          </cell>
          <cell r="E160">
            <v>0.64061000000000012</v>
          </cell>
        </row>
        <row r="161">
          <cell r="B161" t="str">
            <v>GREENFIELD</v>
          </cell>
          <cell r="C161">
            <v>114</v>
          </cell>
          <cell r="D161">
            <v>0.748085</v>
          </cell>
          <cell r="E161">
            <v>0.68649000000000004</v>
          </cell>
        </row>
        <row r="162">
          <cell r="B162" t="str">
            <v>GROTON</v>
          </cell>
          <cell r="C162">
            <v>115</v>
          </cell>
          <cell r="D162">
            <v>0.93986000000000003</v>
          </cell>
          <cell r="E162">
            <v>0.883104</v>
          </cell>
        </row>
        <row r="163">
          <cell r="B163" t="str">
            <v>GROVELAND</v>
          </cell>
          <cell r="C163">
            <v>116</v>
          </cell>
          <cell r="D163">
            <v>0.92058000000000006</v>
          </cell>
          <cell r="E163">
            <v>0.86288600000000004</v>
          </cell>
        </row>
        <row r="164">
          <cell r="B164" t="str">
            <v>HADLEY</v>
          </cell>
          <cell r="C164">
            <v>117</v>
          </cell>
          <cell r="D164">
            <v>0.65391499999999991</v>
          </cell>
          <cell r="E164">
            <v>0.52929999999999999</v>
          </cell>
        </row>
        <row r="165">
          <cell r="B165" t="str">
            <v>HALIFAX</v>
          </cell>
          <cell r="C165">
            <v>118</v>
          </cell>
          <cell r="D165">
            <v>0.89462999999999993</v>
          </cell>
          <cell r="E165">
            <v>0.83440999999999999</v>
          </cell>
        </row>
        <row r="166">
          <cell r="B166" t="str">
            <v>HAMILTON</v>
          </cell>
          <cell r="C166">
            <v>119</v>
          </cell>
          <cell r="D166">
            <v>0.95109399999999988</v>
          </cell>
          <cell r="E166">
            <v>0.92599299999999996</v>
          </cell>
        </row>
        <row r="167">
          <cell r="B167" t="str">
            <v>HAMPDEN</v>
          </cell>
          <cell r="C167">
            <v>120</v>
          </cell>
          <cell r="D167">
            <v>0.88819100000000006</v>
          </cell>
          <cell r="E167">
            <v>0.85659999999999992</v>
          </cell>
        </row>
        <row r="168">
          <cell r="B168" t="str">
            <v>HANCOCK</v>
          </cell>
          <cell r="C168">
            <v>121</v>
          </cell>
          <cell r="D168">
            <v>0.60734399999999999</v>
          </cell>
          <cell r="E168">
            <v>0.55395800000000006</v>
          </cell>
        </row>
        <row r="169">
          <cell r="B169" t="str">
            <v>HANOVER</v>
          </cell>
          <cell r="C169">
            <v>122</v>
          </cell>
          <cell r="D169">
            <v>0.82339399999999996</v>
          </cell>
          <cell r="E169">
            <v>0.70167000000000002</v>
          </cell>
        </row>
        <row r="170">
          <cell r="B170" t="str">
            <v>HANSON</v>
          </cell>
          <cell r="C170">
            <v>123</v>
          </cell>
          <cell r="D170">
            <v>0.91752300000000009</v>
          </cell>
          <cell r="E170">
            <v>0.80903700000000001</v>
          </cell>
        </row>
        <row r="171">
          <cell r="B171" t="str">
            <v>HARDWICK</v>
          </cell>
          <cell r="C171">
            <v>124</v>
          </cell>
          <cell r="D171">
            <v>0.90726799999999996</v>
          </cell>
          <cell r="E171">
            <v>0.73968</v>
          </cell>
        </row>
        <row r="172">
          <cell r="B172" t="str">
            <v>HARVARD</v>
          </cell>
          <cell r="C172">
            <v>125</v>
          </cell>
          <cell r="D172">
            <v>0.95036600000000004</v>
          </cell>
          <cell r="E172">
            <v>0.85510000000000008</v>
          </cell>
        </row>
        <row r="173">
          <cell r="B173" t="str">
            <v>HARWICH</v>
          </cell>
          <cell r="C173">
            <v>126</v>
          </cell>
          <cell r="D173">
            <v>0.92681299999999989</v>
          </cell>
          <cell r="E173">
            <v>0.79444999999999988</v>
          </cell>
        </row>
        <row r="174">
          <cell r="B174" t="str">
            <v>HATFIELD</v>
          </cell>
          <cell r="C174">
            <v>127</v>
          </cell>
          <cell r="D174">
            <v>0.75546199999999997</v>
          </cell>
          <cell r="E174">
            <v>0.64670000000000005</v>
          </cell>
        </row>
        <row r="175">
          <cell r="B175" t="str">
            <v>HAVERHILL</v>
          </cell>
          <cell r="C175">
            <v>128</v>
          </cell>
          <cell r="D175">
            <v>0.75189600000000001</v>
          </cell>
          <cell r="E175">
            <v>0.63746899999999995</v>
          </cell>
        </row>
        <row r="176">
          <cell r="B176" t="str">
            <v>HAWLEY</v>
          </cell>
          <cell r="C176">
            <v>129</v>
          </cell>
          <cell r="D176">
            <v>0.90059600000000006</v>
          </cell>
          <cell r="E176">
            <v>0.57808000000000004</v>
          </cell>
        </row>
        <row r="177">
          <cell r="B177" t="str">
            <v>HEATH</v>
          </cell>
          <cell r="C177">
            <v>130</v>
          </cell>
          <cell r="D177">
            <v>0.87207299999999999</v>
          </cell>
          <cell r="E177">
            <v>0.87207299999999999</v>
          </cell>
        </row>
        <row r="178">
          <cell r="B178" t="str">
            <v>HINGHAM</v>
          </cell>
          <cell r="C178">
            <v>131</v>
          </cell>
          <cell r="D178">
            <v>0.87629800000000002</v>
          </cell>
          <cell r="E178">
            <v>0.79174000000000011</v>
          </cell>
        </row>
        <row r="179">
          <cell r="B179" t="str">
            <v>HINSDALE</v>
          </cell>
          <cell r="C179">
            <v>132</v>
          </cell>
          <cell r="D179">
            <v>0.820685</v>
          </cell>
          <cell r="E179">
            <v>0.67578000000000005</v>
          </cell>
        </row>
        <row r="180">
          <cell r="B180" t="str">
            <v>HOLBROOK</v>
          </cell>
          <cell r="C180">
            <v>133</v>
          </cell>
          <cell r="D180">
            <v>0.75733000000000006</v>
          </cell>
          <cell r="E180">
            <v>0.70289299999999999</v>
          </cell>
        </row>
        <row r="181">
          <cell r="B181" t="str">
            <v>HOLDEN</v>
          </cell>
          <cell r="C181">
            <v>134</v>
          </cell>
          <cell r="D181">
            <v>0.93792299999999995</v>
          </cell>
          <cell r="E181">
            <v>0.87989700000000004</v>
          </cell>
        </row>
        <row r="182">
          <cell r="B182" t="str">
            <v>HOLLAND</v>
          </cell>
          <cell r="C182">
            <v>135</v>
          </cell>
          <cell r="D182">
            <v>0.95238900000000004</v>
          </cell>
          <cell r="E182">
            <v>0.820164</v>
          </cell>
        </row>
        <row r="183">
          <cell r="B183" t="str">
            <v>HOLLISTON</v>
          </cell>
          <cell r="C183">
            <v>136</v>
          </cell>
          <cell r="D183">
            <v>0.87232600000000005</v>
          </cell>
          <cell r="E183">
            <v>0.81808199999999998</v>
          </cell>
        </row>
        <row r="184">
          <cell r="B184" t="str">
            <v>HOLYOKE</v>
          </cell>
          <cell r="C184">
            <v>137</v>
          </cell>
          <cell r="D184">
            <v>0.548265</v>
          </cell>
          <cell r="E184">
            <v>0.39782099999999998</v>
          </cell>
        </row>
        <row r="185">
          <cell r="B185" t="str">
            <v>HOPEDALE</v>
          </cell>
          <cell r="C185">
            <v>138</v>
          </cell>
          <cell r="D185">
            <v>0.8227540000000001</v>
          </cell>
          <cell r="E185">
            <v>0.746583</v>
          </cell>
        </row>
        <row r="186">
          <cell r="B186" t="str">
            <v>HOPKINTON</v>
          </cell>
          <cell r="C186">
            <v>139</v>
          </cell>
          <cell r="D186">
            <v>0.833754</v>
          </cell>
          <cell r="E186">
            <v>0.71751900000000002</v>
          </cell>
        </row>
        <row r="187">
          <cell r="B187" t="str">
            <v>HUBBARDSTON</v>
          </cell>
          <cell r="C187">
            <v>140</v>
          </cell>
          <cell r="D187">
            <v>0.93432800000000005</v>
          </cell>
          <cell r="E187">
            <v>0.68917000000000006</v>
          </cell>
        </row>
        <row r="188">
          <cell r="B188" t="str">
            <v>HUDSON</v>
          </cell>
          <cell r="C188">
            <v>141</v>
          </cell>
          <cell r="D188">
            <v>0.71749399999999997</v>
          </cell>
          <cell r="E188">
            <v>0.65327200000000007</v>
          </cell>
        </row>
        <row r="189">
          <cell r="B189" t="str">
            <v>HULL</v>
          </cell>
          <cell r="C189">
            <v>142</v>
          </cell>
          <cell r="D189">
            <v>0.95669399999999993</v>
          </cell>
          <cell r="E189">
            <v>0.86846800000000002</v>
          </cell>
        </row>
        <row r="190">
          <cell r="B190" t="str">
            <v>HUNTINGTON</v>
          </cell>
          <cell r="C190">
            <v>143</v>
          </cell>
          <cell r="D190">
            <v>0.93730800000000003</v>
          </cell>
          <cell r="E190">
            <v>0.89083500000000004</v>
          </cell>
        </row>
        <row r="191">
          <cell r="B191" t="str">
            <v>IPSWICH</v>
          </cell>
          <cell r="C191">
            <v>144</v>
          </cell>
          <cell r="D191">
            <v>0.88910400000000001</v>
          </cell>
          <cell r="E191">
            <v>0.8253100000000001</v>
          </cell>
        </row>
        <row r="192">
          <cell r="B192" t="str">
            <v>KINGSTON</v>
          </cell>
          <cell r="C192">
            <v>145</v>
          </cell>
          <cell r="D192">
            <v>0.86557400000000007</v>
          </cell>
          <cell r="E192">
            <v>0.73668000000000011</v>
          </cell>
        </row>
        <row r="193">
          <cell r="B193" t="str">
            <v>LAKEVILLE</v>
          </cell>
          <cell r="C193">
            <v>146</v>
          </cell>
          <cell r="D193">
            <v>0.85770499999999994</v>
          </cell>
          <cell r="E193">
            <v>0.8162609999999999</v>
          </cell>
        </row>
        <row r="194">
          <cell r="B194" t="str">
            <v>LANCASTER</v>
          </cell>
          <cell r="C194">
            <v>147</v>
          </cell>
          <cell r="D194">
            <v>0.85229600000000005</v>
          </cell>
          <cell r="E194">
            <v>0.81906999999999996</v>
          </cell>
        </row>
        <row r="195">
          <cell r="B195" t="str">
            <v>LANESBOROUGH</v>
          </cell>
          <cell r="C195">
            <v>148</v>
          </cell>
          <cell r="D195">
            <v>0.79676000000000002</v>
          </cell>
          <cell r="E195">
            <v>0.65763800000000006</v>
          </cell>
        </row>
        <row r="196">
          <cell r="B196" t="str">
            <v>LAWRENCE</v>
          </cell>
          <cell r="C196">
            <v>149</v>
          </cell>
          <cell r="D196">
            <v>0.62067100000000008</v>
          </cell>
          <cell r="E196">
            <v>0.53479699999999997</v>
          </cell>
        </row>
        <row r="197">
          <cell r="B197" t="str">
            <v>LEE</v>
          </cell>
          <cell r="C197">
            <v>150</v>
          </cell>
          <cell r="D197">
            <v>0.69706299999999999</v>
          </cell>
          <cell r="E197">
            <v>0.60842200000000002</v>
          </cell>
        </row>
        <row r="198">
          <cell r="B198" t="str">
            <v>LEICESTER</v>
          </cell>
          <cell r="C198">
            <v>151</v>
          </cell>
          <cell r="D198">
            <v>0.88201300000000005</v>
          </cell>
          <cell r="E198">
            <v>0.83439700000000006</v>
          </cell>
        </row>
        <row r="199">
          <cell r="B199" t="str">
            <v>LENOX</v>
          </cell>
          <cell r="C199">
            <v>152</v>
          </cell>
          <cell r="D199">
            <v>0.77000299999999999</v>
          </cell>
          <cell r="E199">
            <v>0.698044</v>
          </cell>
        </row>
        <row r="200">
          <cell r="B200" t="str">
            <v>LEOMINSTER</v>
          </cell>
          <cell r="C200">
            <v>153</v>
          </cell>
          <cell r="D200">
            <v>0.78187799999999996</v>
          </cell>
          <cell r="E200">
            <v>0.65724000000000005</v>
          </cell>
        </row>
        <row r="201">
          <cell r="B201" t="str">
            <v>LEVERETT</v>
          </cell>
          <cell r="C201">
            <v>154</v>
          </cell>
          <cell r="D201">
            <v>0.96377200000000007</v>
          </cell>
          <cell r="E201">
            <v>0.79571999999999998</v>
          </cell>
        </row>
        <row r="202">
          <cell r="B202" t="str">
            <v>LEXINGTON</v>
          </cell>
          <cell r="C202">
            <v>155</v>
          </cell>
          <cell r="D202">
            <v>0.79346300000000003</v>
          </cell>
          <cell r="E202">
            <v>0.6670950000000001</v>
          </cell>
        </row>
        <row r="203">
          <cell r="B203" t="str">
            <v>LEYDEN</v>
          </cell>
          <cell r="C203">
            <v>156</v>
          </cell>
          <cell r="D203">
            <v>0.94777900000000004</v>
          </cell>
          <cell r="E203">
            <v>0.79461999999999999</v>
          </cell>
        </row>
        <row r="204">
          <cell r="B204" t="str">
            <v>LINCOLN</v>
          </cell>
          <cell r="C204">
            <v>157</v>
          </cell>
          <cell r="D204">
            <v>0.95401599999999998</v>
          </cell>
          <cell r="E204">
            <v>0.90681</v>
          </cell>
        </row>
        <row r="205">
          <cell r="B205" t="str">
            <v>LITTLETON</v>
          </cell>
          <cell r="C205">
            <v>158</v>
          </cell>
          <cell r="D205">
            <v>0.70107900000000001</v>
          </cell>
          <cell r="E205">
            <v>0.59092599999999995</v>
          </cell>
        </row>
        <row r="206">
          <cell r="B206" t="str">
            <v>LONGMEADOW</v>
          </cell>
          <cell r="C206">
            <v>159</v>
          </cell>
          <cell r="D206">
            <v>0.94649199999999989</v>
          </cell>
          <cell r="E206">
            <v>0.92584999999999995</v>
          </cell>
        </row>
        <row r="207">
          <cell r="B207" t="str">
            <v>LOWELL</v>
          </cell>
          <cell r="C207">
            <v>160</v>
          </cell>
          <cell r="D207">
            <v>0.70808800000000005</v>
          </cell>
          <cell r="E207">
            <v>0.57017600000000002</v>
          </cell>
        </row>
        <row r="208">
          <cell r="B208" t="str">
            <v>LUDLOW</v>
          </cell>
          <cell r="C208">
            <v>161</v>
          </cell>
          <cell r="D208">
            <v>0.79531400000000008</v>
          </cell>
          <cell r="E208">
            <v>0.79466300000000001</v>
          </cell>
        </row>
        <row r="209">
          <cell r="B209" t="str">
            <v>LUNENBURG</v>
          </cell>
          <cell r="C209">
            <v>162</v>
          </cell>
          <cell r="D209">
            <v>0.90010400000000002</v>
          </cell>
          <cell r="E209">
            <v>0.83839299999999994</v>
          </cell>
        </row>
        <row r="210">
          <cell r="B210" t="str">
            <v>LYNN</v>
          </cell>
          <cell r="C210">
            <v>163</v>
          </cell>
          <cell r="D210">
            <v>0.76431899999999997</v>
          </cell>
          <cell r="E210">
            <v>0.61420299999999994</v>
          </cell>
        </row>
        <row r="211">
          <cell r="B211" t="str">
            <v>LYNNFIELD</v>
          </cell>
          <cell r="C211">
            <v>164</v>
          </cell>
          <cell r="D211">
            <v>0.83681899999999998</v>
          </cell>
          <cell r="E211">
            <v>0.83681899999999998</v>
          </cell>
        </row>
        <row r="212">
          <cell r="B212" t="str">
            <v>MALDEN</v>
          </cell>
          <cell r="C212">
            <v>165</v>
          </cell>
          <cell r="D212">
            <v>0.77499499999999999</v>
          </cell>
          <cell r="E212">
            <v>0.69830499999999995</v>
          </cell>
        </row>
        <row r="213">
          <cell r="B213" t="str">
            <v>MANCHESTER BY THE SEA</v>
          </cell>
          <cell r="C213">
            <v>166</v>
          </cell>
          <cell r="D213">
            <v>0.93312200000000001</v>
          </cell>
          <cell r="E213">
            <v>0.90492000000000006</v>
          </cell>
        </row>
        <row r="214">
          <cell r="B214" t="str">
            <v>MANSFIELD</v>
          </cell>
          <cell r="C214">
            <v>167</v>
          </cell>
          <cell r="D214">
            <v>0.71571099999999999</v>
          </cell>
          <cell r="E214">
            <v>0.51064100000000001</v>
          </cell>
        </row>
        <row r="215">
          <cell r="B215" t="str">
            <v>MARBLEHEAD</v>
          </cell>
          <cell r="C215">
            <v>168</v>
          </cell>
          <cell r="D215">
            <v>0.94705899999999998</v>
          </cell>
          <cell r="E215">
            <v>0.92672500000000002</v>
          </cell>
        </row>
        <row r="216">
          <cell r="B216" t="str">
            <v>MARION</v>
          </cell>
          <cell r="C216">
            <v>169</v>
          </cell>
          <cell r="D216">
            <v>0.92411500000000002</v>
          </cell>
          <cell r="E216">
            <v>0.80132000000000003</v>
          </cell>
        </row>
        <row r="217">
          <cell r="B217" t="str">
            <v>MARLBOROUGH</v>
          </cell>
          <cell r="C217">
            <v>170</v>
          </cell>
          <cell r="D217">
            <v>0.54838999999999993</v>
          </cell>
          <cell r="E217">
            <v>0.410771</v>
          </cell>
        </row>
        <row r="218">
          <cell r="B218" t="str">
            <v>MARSHFIELD</v>
          </cell>
          <cell r="C218">
            <v>171</v>
          </cell>
          <cell r="D218">
            <v>0.92061199999999999</v>
          </cell>
          <cell r="E218">
            <v>0.86712999999999996</v>
          </cell>
        </row>
        <row r="219">
          <cell r="B219" t="str">
            <v>MASHPEE</v>
          </cell>
          <cell r="C219">
            <v>172</v>
          </cell>
          <cell r="D219">
            <v>0.908219</v>
          </cell>
          <cell r="E219">
            <v>0.8704130000000001</v>
          </cell>
        </row>
        <row r="220">
          <cell r="B220" t="str">
            <v>MATTAPOISETT</v>
          </cell>
          <cell r="C220">
            <v>173</v>
          </cell>
          <cell r="D220">
            <v>0.93592799999999998</v>
          </cell>
          <cell r="E220">
            <v>0.83423000000000003</v>
          </cell>
        </row>
        <row r="221">
          <cell r="B221" t="str">
            <v>MAYNARD</v>
          </cell>
          <cell r="C221">
            <v>174</v>
          </cell>
          <cell r="D221">
            <v>0.84278000000000008</v>
          </cell>
          <cell r="E221">
            <v>0.56968000000000008</v>
          </cell>
        </row>
        <row r="222">
          <cell r="B222" t="str">
            <v>MEDFIELD</v>
          </cell>
          <cell r="C222">
            <v>175</v>
          </cell>
          <cell r="D222">
            <v>0.94504999999999995</v>
          </cell>
          <cell r="E222">
            <v>0.86385000000000001</v>
          </cell>
        </row>
        <row r="223">
          <cell r="B223" t="str">
            <v>MEDFORD</v>
          </cell>
          <cell r="C223">
            <v>176</v>
          </cell>
          <cell r="D223">
            <v>0.78949100000000005</v>
          </cell>
          <cell r="E223">
            <v>0.72101000000000004</v>
          </cell>
        </row>
        <row r="224">
          <cell r="B224" t="str">
            <v>MEDWAY</v>
          </cell>
          <cell r="C224">
            <v>177</v>
          </cell>
          <cell r="D224">
            <v>0.84619900000000003</v>
          </cell>
          <cell r="E224">
            <v>0.74712900000000004</v>
          </cell>
        </row>
        <row r="225">
          <cell r="B225" t="str">
            <v>MELROSE</v>
          </cell>
          <cell r="C225">
            <v>178</v>
          </cell>
          <cell r="D225">
            <v>0.91793099999999994</v>
          </cell>
          <cell r="E225">
            <v>0.87647800000000009</v>
          </cell>
        </row>
        <row r="226">
          <cell r="B226" t="str">
            <v>MENDON</v>
          </cell>
          <cell r="C226">
            <v>179</v>
          </cell>
          <cell r="D226">
            <v>0.883077</v>
          </cell>
          <cell r="E226">
            <v>0.82161000000000006</v>
          </cell>
        </row>
        <row r="227">
          <cell r="B227" t="str">
            <v>MERRIMAC</v>
          </cell>
          <cell r="C227">
            <v>180</v>
          </cell>
          <cell r="D227">
            <v>0.94898199999999999</v>
          </cell>
          <cell r="E227">
            <v>0.82082999999999995</v>
          </cell>
        </row>
        <row r="228">
          <cell r="B228" t="str">
            <v>METHUEN</v>
          </cell>
          <cell r="C228">
            <v>181</v>
          </cell>
          <cell r="D228">
            <v>0.75336799999999993</v>
          </cell>
          <cell r="E228">
            <v>0.75336799999999993</v>
          </cell>
        </row>
        <row r="229">
          <cell r="B229" t="str">
            <v>MIDDLEBOROUGH</v>
          </cell>
          <cell r="C229">
            <v>182</v>
          </cell>
          <cell r="D229">
            <v>0.77871499999999994</v>
          </cell>
          <cell r="E229">
            <v>0.64010599999999995</v>
          </cell>
        </row>
        <row r="230">
          <cell r="B230" t="str">
            <v>MIDDLEFIELD</v>
          </cell>
          <cell r="C230">
            <v>183</v>
          </cell>
          <cell r="D230">
            <v>0.91617400000000004</v>
          </cell>
          <cell r="E230">
            <v>0.71977000000000002</v>
          </cell>
        </row>
        <row r="231">
          <cell r="B231" t="str">
            <v>MIDDLETON</v>
          </cell>
          <cell r="C231">
            <v>184</v>
          </cell>
          <cell r="D231">
            <v>0.83387500000000003</v>
          </cell>
          <cell r="E231">
            <v>0.69234099999999998</v>
          </cell>
        </row>
        <row r="232">
          <cell r="B232" t="str">
            <v>MILFORD</v>
          </cell>
          <cell r="C232">
            <v>185</v>
          </cell>
          <cell r="D232">
            <v>0.66570800000000008</v>
          </cell>
          <cell r="E232">
            <v>0.60051999999999994</v>
          </cell>
        </row>
        <row r="233">
          <cell r="B233" t="str">
            <v>MILLBURY</v>
          </cell>
          <cell r="C233">
            <v>186</v>
          </cell>
          <cell r="D233">
            <v>0.76553799999999994</v>
          </cell>
          <cell r="E233">
            <v>0.76168999999999998</v>
          </cell>
        </row>
        <row r="234">
          <cell r="B234" t="str">
            <v>MILLIS</v>
          </cell>
          <cell r="C234">
            <v>187</v>
          </cell>
          <cell r="D234">
            <v>0.89935699999999996</v>
          </cell>
          <cell r="E234">
            <v>0.84149499999999999</v>
          </cell>
        </row>
        <row r="235">
          <cell r="B235" t="str">
            <v>MILLVILLE</v>
          </cell>
          <cell r="C235">
            <v>188</v>
          </cell>
          <cell r="D235">
            <v>0.92872699999999997</v>
          </cell>
          <cell r="E235">
            <v>0.89537499999999992</v>
          </cell>
        </row>
        <row r="236">
          <cell r="B236" t="str">
            <v>MILTON</v>
          </cell>
          <cell r="C236">
            <v>189</v>
          </cell>
          <cell r="D236">
            <v>0.93804900000000002</v>
          </cell>
          <cell r="E236">
            <v>0.9110299999999999</v>
          </cell>
        </row>
        <row r="237">
          <cell r="B237" t="str">
            <v>MONROE</v>
          </cell>
          <cell r="C237">
            <v>190</v>
          </cell>
          <cell r="D237">
            <v>0.24197399999999999</v>
          </cell>
          <cell r="E237">
            <v>0.24197399999999999</v>
          </cell>
        </row>
        <row r="238">
          <cell r="B238" t="str">
            <v>MONSON</v>
          </cell>
          <cell r="C238">
            <v>191</v>
          </cell>
          <cell r="D238">
            <v>0.90630999999999995</v>
          </cell>
          <cell r="E238">
            <v>0.79893000000000003</v>
          </cell>
        </row>
        <row r="239">
          <cell r="B239" t="str">
            <v>MONTAGUE</v>
          </cell>
          <cell r="C239">
            <v>192</v>
          </cell>
          <cell r="D239">
            <v>0.607437</v>
          </cell>
          <cell r="E239">
            <v>0.55618499999999993</v>
          </cell>
        </row>
        <row r="240">
          <cell r="B240" t="str">
            <v>MONTEREY</v>
          </cell>
          <cell r="C240">
            <v>193</v>
          </cell>
          <cell r="D240">
            <v>0.96243999999999996</v>
          </cell>
          <cell r="E240">
            <v>0.78059000000000001</v>
          </cell>
        </row>
        <row r="241">
          <cell r="B241" t="str">
            <v>MONTGOMERY</v>
          </cell>
          <cell r="C241">
            <v>194</v>
          </cell>
          <cell r="D241">
            <v>0.95861200000000002</v>
          </cell>
          <cell r="E241">
            <v>0.84148999999999996</v>
          </cell>
        </row>
        <row r="242">
          <cell r="B242" t="str">
            <v>MOUNT WASHINGTON</v>
          </cell>
          <cell r="C242">
            <v>195</v>
          </cell>
          <cell r="D242">
            <v>0.970549</v>
          </cell>
          <cell r="E242">
            <v>0.73794999999999999</v>
          </cell>
        </row>
        <row r="243">
          <cell r="B243" t="str">
            <v>NAHANT</v>
          </cell>
          <cell r="C243">
            <v>196</v>
          </cell>
          <cell r="D243">
            <v>0.95724699999999996</v>
          </cell>
          <cell r="E243">
            <v>0.92437000000000002</v>
          </cell>
        </row>
        <row r="244">
          <cell r="B244" t="str">
            <v>NANTUCKET</v>
          </cell>
          <cell r="C244">
            <v>197</v>
          </cell>
          <cell r="D244">
            <v>0.89022400000000002</v>
          </cell>
          <cell r="E244">
            <v>0.64793999999999996</v>
          </cell>
        </row>
        <row r="245">
          <cell r="B245" t="str">
            <v>NATICK</v>
          </cell>
          <cell r="C245">
            <v>198</v>
          </cell>
          <cell r="D245">
            <v>0.77629900000000007</v>
          </cell>
          <cell r="E245">
            <v>0.70791199999999999</v>
          </cell>
        </row>
        <row r="246">
          <cell r="B246" t="str">
            <v>NEEDHAM</v>
          </cell>
          <cell r="C246">
            <v>199</v>
          </cell>
          <cell r="D246">
            <v>0.75381399999999998</v>
          </cell>
          <cell r="E246">
            <v>0.73048400000000002</v>
          </cell>
        </row>
        <row r="247">
          <cell r="B247" t="str">
            <v>NEW ASHFORD</v>
          </cell>
          <cell r="C247">
            <v>200</v>
          </cell>
          <cell r="D247">
            <v>0.74468100000000004</v>
          </cell>
          <cell r="E247">
            <v>0.30348999999999998</v>
          </cell>
        </row>
        <row r="248">
          <cell r="B248" t="str">
            <v>NEW BEDFORD</v>
          </cell>
          <cell r="C248">
            <v>201</v>
          </cell>
          <cell r="D248">
            <v>0.639316</v>
          </cell>
          <cell r="E248">
            <v>0.56135299999999999</v>
          </cell>
        </row>
        <row r="249">
          <cell r="B249" t="str">
            <v>NEW BRAINTREE</v>
          </cell>
          <cell r="C249">
            <v>202</v>
          </cell>
          <cell r="D249">
            <v>0.94292799999999999</v>
          </cell>
          <cell r="E249">
            <v>0.55003999999999997</v>
          </cell>
        </row>
        <row r="250">
          <cell r="B250" t="str">
            <v>NEW MARLBOROUGH</v>
          </cell>
          <cell r="C250">
            <v>203</v>
          </cell>
          <cell r="D250">
            <v>0.94485399999999997</v>
          </cell>
          <cell r="E250">
            <v>0.69133999999999995</v>
          </cell>
        </row>
        <row r="251">
          <cell r="B251" t="str">
            <v>NEW SALEM</v>
          </cell>
          <cell r="C251">
            <v>204</v>
          </cell>
          <cell r="D251">
            <v>0.89566699999999999</v>
          </cell>
          <cell r="E251">
            <v>0.80390000000000006</v>
          </cell>
        </row>
        <row r="252">
          <cell r="B252" t="str">
            <v>NEWBURY</v>
          </cell>
          <cell r="C252">
            <v>205</v>
          </cell>
          <cell r="D252">
            <v>0.95653499999999991</v>
          </cell>
          <cell r="E252">
            <v>0.89206999999999992</v>
          </cell>
        </row>
        <row r="253">
          <cell r="B253" t="str">
            <v>NEWBURYPORT</v>
          </cell>
          <cell r="C253">
            <v>206</v>
          </cell>
          <cell r="D253">
            <v>0.86921400000000004</v>
          </cell>
          <cell r="E253">
            <v>0.744807</v>
          </cell>
        </row>
        <row r="254">
          <cell r="B254" t="str">
            <v>NEWTON</v>
          </cell>
          <cell r="C254">
            <v>207</v>
          </cell>
          <cell r="D254">
            <v>0.80576800000000004</v>
          </cell>
          <cell r="E254">
            <v>0.72218900000000008</v>
          </cell>
        </row>
        <row r="255">
          <cell r="B255" t="str">
            <v>NORFOLK</v>
          </cell>
          <cell r="C255">
            <v>208</v>
          </cell>
          <cell r="D255">
            <v>0.92668499999999998</v>
          </cell>
          <cell r="E255">
            <v>0.89430000000000009</v>
          </cell>
        </row>
        <row r="256">
          <cell r="B256" t="str">
            <v>NORTH ADAMS</v>
          </cell>
          <cell r="C256">
            <v>209</v>
          </cell>
          <cell r="D256">
            <v>0.601074</v>
          </cell>
          <cell r="E256">
            <v>0.587565</v>
          </cell>
        </row>
        <row r="257">
          <cell r="B257" t="str">
            <v>NORTH ANDOVER</v>
          </cell>
          <cell r="C257">
            <v>210</v>
          </cell>
          <cell r="D257">
            <v>0.82877200000000006</v>
          </cell>
          <cell r="E257">
            <v>0.777312</v>
          </cell>
        </row>
        <row r="258">
          <cell r="B258" t="str">
            <v>NORTH ATTLEBOROUGH</v>
          </cell>
          <cell r="C258">
            <v>211</v>
          </cell>
          <cell r="D258">
            <v>0.81143799999999999</v>
          </cell>
          <cell r="E258">
            <v>0.712094</v>
          </cell>
        </row>
        <row r="259">
          <cell r="B259" t="str">
            <v>NORTH BROOKFIELD</v>
          </cell>
          <cell r="C259">
            <v>212</v>
          </cell>
          <cell r="D259">
            <v>0.90796099999999991</v>
          </cell>
          <cell r="E259">
            <v>0.73058000000000012</v>
          </cell>
        </row>
        <row r="260">
          <cell r="B260" t="str">
            <v>NORTH READING</v>
          </cell>
          <cell r="C260">
            <v>213</v>
          </cell>
          <cell r="D260">
            <v>0.87410300000000007</v>
          </cell>
          <cell r="E260">
            <v>0.77633300000000005</v>
          </cell>
        </row>
        <row r="261">
          <cell r="B261" t="str">
            <v>NORTHAMPTON</v>
          </cell>
          <cell r="C261">
            <v>214</v>
          </cell>
          <cell r="D261">
            <v>0.7977240000000001</v>
          </cell>
          <cell r="E261">
            <v>0.71132999999999991</v>
          </cell>
        </row>
        <row r="262">
          <cell r="B262" t="str">
            <v>NORTHBOROUGH</v>
          </cell>
          <cell r="C262">
            <v>215</v>
          </cell>
          <cell r="D262">
            <v>0.74892599999999998</v>
          </cell>
          <cell r="E262">
            <v>0.71217399999999997</v>
          </cell>
        </row>
        <row r="263">
          <cell r="B263" t="str">
            <v>NORTHBRIDGE</v>
          </cell>
          <cell r="C263">
            <v>216</v>
          </cell>
          <cell r="D263">
            <v>0.86884200000000011</v>
          </cell>
          <cell r="E263">
            <v>0.78927800000000004</v>
          </cell>
        </row>
        <row r="264">
          <cell r="B264" t="str">
            <v>NORTHFIELD</v>
          </cell>
          <cell r="C264">
            <v>217</v>
          </cell>
          <cell r="D264">
            <v>0.60032200000000002</v>
          </cell>
          <cell r="E264">
            <v>0.44370399999999999</v>
          </cell>
        </row>
        <row r="265">
          <cell r="B265" t="str">
            <v>NORTON</v>
          </cell>
          <cell r="C265">
            <v>218</v>
          </cell>
          <cell r="D265">
            <v>0.84955600000000009</v>
          </cell>
          <cell r="E265">
            <v>0.74922</v>
          </cell>
        </row>
        <row r="266">
          <cell r="B266" t="str">
            <v>NORWELL</v>
          </cell>
          <cell r="C266">
            <v>219</v>
          </cell>
          <cell r="D266">
            <v>0.84516999999999998</v>
          </cell>
          <cell r="E266">
            <v>0.76871899999999993</v>
          </cell>
        </row>
        <row r="267">
          <cell r="B267" t="str">
            <v>NORWOOD</v>
          </cell>
          <cell r="C267">
            <v>220</v>
          </cell>
          <cell r="D267">
            <v>0.54595899999999997</v>
          </cell>
          <cell r="E267">
            <v>0.54409600000000002</v>
          </cell>
        </row>
        <row r="268">
          <cell r="B268" t="str">
            <v>OAK BLUFFS</v>
          </cell>
          <cell r="C268">
            <v>221</v>
          </cell>
          <cell r="D268">
            <v>0.92569699999999999</v>
          </cell>
          <cell r="E268">
            <v>0.788327</v>
          </cell>
        </row>
        <row r="269">
          <cell r="B269" t="str">
            <v>OAKHAM</v>
          </cell>
          <cell r="C269">
            <v>222</v>
          </cell>
          <cell r="D269">
            <v>0.92822400000000005</v>
          </cell>
          <cell r="E269">
            <v>0.90434999999999999</v>
          </cell>
        </row>
        <row r="270">
          <cell r="B270" t="str">
            <v>ORANGE</v>
          </cell>
          <cell r="C270">
            <v>223</v>
          </cell>
          <cell r="D270">
            <v>0.79459199999999996</v>
          </cell>
          <cell r="E270">
            <v>0.74259799999999998</v>
          </cell>
        </row>
        <row r="271">
          <cell r="B271" t="str">
            <v>ORLEANS</v>
          </cell>
          <cell r="C271">
            <v>224</v>
          </cell>
          <cell r="D271">
            <v>0.92256899999999997</v>
          </cell>
          <cell r="E271">
            <v>0.84141499999999991</v>
          </cell>
        </row>
        <row r="272">
          <cell r="B272" t="str">
            <v>OTIS</v>
          </cell>
          <cell r="C272">
            <v>225</v>
          </cell>
          <cell r="D272">
            <v>0.93201400000000012</v>
          </cell>
          <cell r="E272">
            <v>0.84040000000000004</v>
          </cell>
        </row>
        <row r="273">
          <cell r="B273" t="str">
            <v>OXFORD</v>
          </cell>
          <cell r="C273">
            <v>226</v>
          </cell>
          <cell r="D273">
            <v>0.78276899999999994</v>
          </cell>
          <cell r="E273">
            <v>0.78276899999999994</v>
          </cell>
        </row>
        <row r="274">
          <cell r="B274" t="str">
            <v>PALMER</v>
          </cell>
          <cell r="C274">
            <v>227</v>
          </cell>
          <cell r="D274">
            <v>0.82427099999999998</v>
          </cell>
          <cell r="E274">
            <v>0.7313670000000001</v>
          </cell>
        </row>
        <row r="275">
          <cell r="B275" t="str">
            <v>PAXTON</v>
          </cell>
          <cell r="C275">
            <v>228</v>
          </cell>
          <cell r="D275">
            <v>0.94581199999999999</v>
          </cell>
          <cell r="E275">
            <v>0.88989999999999991</v>
          </cell>
        </row>
        <row r="276">
          <cell r="B276" t="str">
            <v>PEABODY</v>
          </cell>
          <cell r="C276">
            <v>229</v>
          </cell>
          <cell r="D276">
            <v>0.63139999999999996</v>
          </cell>
          <cell r="E276">
            <v>0.549987</v>
          </cell>
        </row>
        <row r="277">
          <cell r="B277" t="str">
            <v>PELHAM</v>
          </cell>
          <cell r="C277">
            <v>230</v>
          </cell>
          <cell r="D277">
            <v>0.94551399999999997</v>
          </cell>
          <cell r="E277">
            <v>0.83914</v>
          </cell>
        </row>
        <row r="278">
          <cell r="B278" t="str">
            <v>PEMBROKE</v>
          </cell>
          <cell r="C278">
            <v>231</v>
          </cell>
          <cell r="D278">
            <v>0.87057000000000007</v>
          </cell>
          <cell r="E278">
            <v>0.74284099999999997</v>
          </cell>
        </row>
        <row r="279">
          <cell r="B279" t="str">
            <v>PEPPERELL</v>
          </cell>
          <cell r="C279">
            <v>232</v>
          </cell>
          <cell r="D279">
            <v>0.93762500000000004</v>
          </cell>
          <cell r="E279">
            <v>0.86381699999999995</v>
          </cell>
        </row>
        <row r="280">
          <cell r="B280" t="str">
            <v>PERU</v>
          </cell>
          <cell r="C280">
            <v>233</v>
          </cell>
          <cell r="D280">
            <v>0.91790300000000002</v>
          </cell>
          <cell r="E280">
            <v>0.60472000000000004</v>
          </cell>
        </row>
        <row r="281">
          <cell r="B281" t="str">
            <v>PETERSHAM</v>
          </cell>
          <cell r="C281">
            <v>234</v>
          </cell>
          <cell r="D281">
            <v>0.89083200000000007</v>
          </cell>
          <cell r="E281">
            <v>0.77477999999999991</v>
          </cell>
        </row>
        <row r="282">
          <cell r="B282" t="str">
            <v>PHILLIPSTON</v>
          </cell>
          <cell r="C282">
            <v>235</v>
          </cell>
          <cell r="D282">
            <v>0.93806900000000004</v>
          </cell>
          <cell r="E282">
            <v>0.79004000000000008</v>
          </cell>
        </row>
        <row r="283">
          <cell r="B283" t="str">
            <v>PITTSFIELD</v>
          </cell>
          <cell r="C283">
            <v>236</v>
          </cell>
          <cell r="D283">
            <v>0.63864100000000001</v>
          </cell>
          <cell r="E283">
            <v>0.59172000000000002</v>
          </cell>
        </row>
        <row r="284">
          <cell r="B284" t="str">
            <v>PLAINFIELD</v>
          </cell>
          <cell r="C284">
            <v>237</v>
          </cell>
          <cell r="D284">
            <v>0.79259800000000002</v>
          </cell>
          <cell r="E284">
            <v>0.59261000000000008</v>
          </cell>
        </row>
        <row r="285">
          <cell r="B285" t="str">
            <v>PLAINVILLE</v>
          </cell>
          <cell r="C285">
            <v>238</v>
          </cell>
          <cell r="D285">
            <v>0.67315499999999995</v>
          </cell>
          <cell r="E285">
            <v>0.67315499999999995</v>
          </cell>
        </row>
        <row r="286">
          <cell r="B286" t="str">
            <v>PLYMOUTH</v>
          </cell>
          <cell r="C286">
            <v>239</v>
          </cell>
          <cell r="D286">
            <v>0.79306500000000002</v>
          </cell>
          <cell r="E286">
            <v>0.51046999999999998</v>
          </cell>
        </row>
        <row r="287">
          <cell r="B287" t="str">
            <v>PLYMPTON</v>
          </cell>
          <cell r="C287">
            <v>240</v>
          </cell>
          <cell r="D287">
            <v>0.72589799999999993</v>
          </cell>
          <cell r="E287">
            <v>0.70032399999999995</v>
          </cell>
        </row>
        <row r="288">
          <cell r="B288" t="str">
            <v>PRINCETON</v>
          </cell>
          <cell r="C288">
            <v>241</v>
          </cell>
          <cell r="D288">
            <v>0.95860400000000001</v>
          </cell>
          <cell r="E288">
            <v>0.87918000000000007</v>
          </cell>
        </row>
        <row r="289">
          <cell r="B289" t="str">
            <v>PROVINCETOWN</v>
          </cell>
          <cell r="C289">
            <v>242</v>
          </cell>
          <cell r="D289">
            <v>0.83207300000000006</v>
          </cell>
          <cell r="E289">
            <v>0.68976399999999993</v>
          </cell>
        </row>
        <row r="290">
          <cell r="B290" t="str">
            <v>QUINCY</v>
          </cell>
          <cell r="C290">
            <v>243</v>
          </cell>
          <cell r="D290">
            <v>0.71763999999999994</v>
          </cell>
          <cell r="E290">
            <v>0.59587400000000001</v>
          </cell>
        </row>
        <row r="291">
          <cell r="B291" t="str">
            <v>RANDOLPH</v>
          </cell>
          <cell r="C291">
            <v>244</v>
          </cell>
          <cell r="D291">
            <v>0.77188400000000001</v>
          </cell>
          <cell r="E291">
            <v>0.74871799999999988</v>
          </cell>
        </row>
        <row r="292">
          <cell r="B292" t="str">
            <v>RAYNHAM</v>
          </cell>
          <cell r="C292">
            <v>245</v>
          </cell>
          <cell r="D292">
            <v>0.65762900000000002</v>
          </cell>
          <cell r="E292">
            <v>0.62472799999999995</v>
          </cell>
        </row>
        <row r="293">
          <cell r="B293" t="str">
            <v>READING</v>
          </cell>
          <cell r="C293">
            <v>246</v>
          </cell>
          <cell r="D293">
            <v>0.91748699999999994</v>
          </cell>
          <cell r="E293">
            <v>0.86907999999999996</v>
          </cell>
        </row>
        <row r="294">
          <cell r="B294" t="str">
            <v>REHOBOTH</v>
          </cell>
          <cell r="C294">
            <v>247</v>
          </cell>
          <cell r="D294">
            <v>0.91542299999999999</v>
          </cell>
          <cell r="E294">
            <v>0.843974</v>
          </cell>
        </row>
        <row r="295">
          <cell r="B295" t="str">
            <v>REVERE</v>
          </cell>
          <cell r="C295">
            <v>248</v>
          </cell>
          <cell r="D295">
            <v>0.76023600000000002</v>
          </cell>
          <cell r="E295">
            <v>0.61063000000000001</v>
          </cell>
        </row>
        <row r="296">
          <cell r="B296" t="str">
            <v>RICHMOND</v>
          </cell>
          <cell r="C296">
            <v>249</v>
          </cell>
          <cell r="D296">
            <v>0.93730199999999997</v>
          </cell>
          <cell r="E296">
            <v>0.81300700000000004</v>
          </cell>
        </row>
        <row r="297">
          <cell r="B297" t="str">
            <v>ROCHESTER</v>
          </cell>
          <cell r="C297">
            <v>250</v>
          </cell>
          <cell r="D297">
            <v>0.87077599999999999</v>
          </cell>
          <cell r="E297">
            <v>0.73235699999999992</v>
          </cell>
        </row>
        <row r="298">
          <cell r="B298" t="str">
            <v>ROCKLAND</v>
          </cell>
          <cell r="C298">
            <v>251</v>
          </cell>
          <cell r="D298">
            <v>0.79116600000000004</v>
          </cell>
          <cell r="E298">
            <v>0.73513000000000006</v>
          </cell>
        </row>
        <row r="299">
          <cell r="B299" t="str">
            <v>ROCKPORT</v>
          </cell>
          <cell r="C299">
            <v>252</v>
          </cell>
          <cell r="D299">
            <v>0.94081100000000006</v>
          </cell>
          <cell r="E299">
            <v>0.88741000000000003</v>
          </cell>
        </row>
        <row r="300">
          <cell r="B300" t="str">
            <v>ROWE</v>
          </cell>
          <cell r="C300">
            <v>253</v>
          </cell>
          <cell r="D300">
            <v>8.7094000000000005E-2</v>
          </cell>
          <cell r="E300">
            <v>3.823E-2</v>
          </cell>
        </row>
        <row r="301">
          <cell r="B301" t="str">
            <v>ROWLEY</v>
          </cell>
          <cell r="C301">
            <v>254</v>
          </cell>
          <cell r="D301">
            <v>0.8669920000000001</v>
          </cell>
          <cell r="E301">
            <v>0.74468000000000001</v>
          </cell>
        </row>
        <row r="302">
          <cell r="B302" t="str">
            <v>ROYALSTON</v>
          </cell>
          <cell r="C302">
            <v>255</v>
          </cell>
          <cell r="D302">
            <v>0.94033600000000006</v>
          </cell>
          <cell r="E302">
            <v>0.70044099999999998</v>
          </cell>
        </row>
        <row r="303">
          <cell r="B303" t="str">
            <v>RUSSELL</v>
          </cell>
          <cell r="C303">
            <v>256</v>
          </cell>
          <cell r="D303">
            <v>0.84802499999999992</v>
          </cell>
          <cell r="E303">
            <v>0.50511000000000006</v>
          </cell>
        </row>
        <row r="304">
          <cell r="B304" t="str">
            <v>RUTLAND</v>
          </cell>
          <cell r="C304">
            <v>257</v>
          </cell>
          <cell r="D304">
            <v>0.94454300000000002</v>
          </cell>
          <cell r="E304">
            <v>0.78717999999999999</v>
          </cell>
        </row>
        <row r="305">
          <cell r="B305" t="str">
            <v>SALEM</v>
          </cell>
          <cell r="C305">
            <v>258</v>
          </cell>
          <cell r="D305">
            <v>0.73384699999999992</v>
          </cell>
          <cell r="E305">
            <v>0.36820099999999995</v>
          </cell>
        </row>
        <row r="306">
          <cell r="B306" t="str">
            <v>SALISBURY</v>
          </cell>
          <cell r="C306">
            <v>259</v>
          </cell>
          <cell r="D306">
            <v>0.81615799999999994</v>
          </cell>
          <cell r="E306">
            <v>0.72061700000000006</v>
          </cell>
        </row>
        <row r="307">
          <cell r="B307" t="str">
            <v>SANDISFIELD</v>
          </cell>
          <cell r="C307">
            <v>260</v>
          </cell>
          <cell r="D307">
            <v>0.8982429999999999</v>
          </cell>
          <cell r="E307">
            <v>0.76147999999999993</v>
          </cell>
        </row>
        <row r="308">
          <cell r="B308" t="str">
            <v>SANDWICH</v>
          </cell>
          <cell r="C308">
            <v>261</v>
          </cell>
          <cell r="D308">
            <v>0.878942</v>
          </cell>
          <cell r="E308">
            <v>0.59392100000000003</v>
          </cell>
        </row>
        <row r="309">
          <cell r="B309" t="str">
            <v>SAUGUS</v>
          </cell>
          <cell r="C309">
            <v>262</v>
          </cell>
          <cell r="D309">
            <v>0.63947399999999999</v>
          </cell>
          <cell r="E309">
            <v>0.57452300000000001</v>
          </cell>
        </row>
        <row r="310">
          <cell r="B310" t="str">
            <v>SAVOY</v>
          </cell>
          <cell r="C310">
            <v>263</v>
          </cell>
          <cell r="D310">
            <v>0.94655500000000004</v>
          </cell>
          <cell r="E310">
            <v>0.74958000000000002</v>
          </cell>
        </row>
        <row r="311">
          <cell r="B311" t="str">
            <v>SCITUATE</v>
          </cell>
          <cell r="C311">
            <v>264</v>
          </cell>
          <cell r="D311">
            <v>0.95583099999999999</v>
          </cell>
          <cell r="E311">
            <v>0.84998000000000007</v>
          </cell>
        </row>
        <row r="312">
          <cell r="B312" t="str">
            <v>SEEKONK</v>
          </cell>
          <cell r="C312">
            <v>265</v>
          </cell>
          <cell r="D312">
            <v>0.59743800000000002</v>
          </cell>
          <cell r="E312">
            <v>0.59193600000000002</v>
          </cell>
        </row>
        <row r="313">
          <cell r="B313" t="str">
            <v>SHARON</v>
          </cell>
          <cell r="C313">
            <v>266</v>
          </cell>
          <cell r="D313">
            <v>0.93343399999999999</v>
          </cell>
          <cell r="E313">
            <v>0.85762000000000005</v>
          </cell>
        </row>
        <row r="314">
          <cell r="B314" t="str">
            <v>SHEFFIELD</v>
          </cell>
          <cell r="C314">
            <v>267</v>
          </cell>
          <cell r="D314">
            <v>0.853796</v>
          </cell>
          <cell r="E314">
            <v>0.77583000000000002</v>
          </cell>
        </row>
        <row r="315">
          <cell r="B315" t="str">
            <v>SHELBURNE</v>
          </cell>
          <cell r="C315">
            <v>268</v>
          </cell>
          <cell r="D315">
            <v>0.77453599999999989</v>
          </cell>
          <cell r="E315">
            <v>0.61506100000000008</v>
          </cell>
        </row>
        <row r="316">
          <cell r="B316" t="str">
            <v>SHERBORN</v>
          </cell>
          <cell r="C316">
            <v>269</v>
          </cell>
          <cell r="D316">
            <v>0.95370699999999997</v>
          </cell>
          <cell r="E316">
            <v>0.88917000000000002</v>
          </cell>
        </row>
        <row r="317">
          <cell r="B317" t="str">
            <v>SHIRLEY</v>
          </cell>
          <cell r="C317">
            <v>270</v>
          </cell>
          <cell r="D317">
            <v>0.89742299999999997</v>
          </cell>
          <cell r="E317">
            <v>0.72278999999999993</v>
          </cell>
        </row>
        <row r="318">
          <cell r="B318" t="str">
            <v>SHREWSBURY</v>
          </cell>
          <cell r="C318">
            <v>271</v>
          </cell>
          <cell r="D318">
            <v>0.87051000000000001</v>
          </cell>
          <cell r="E318">
            <v>0.76792400000000005</v>
          </cell>
        </row>
        <row r="319">
          <cell r="B319" t="str">
            <v>SHUTESBURY</v>
          </cell>
          <cell r="C319">
            <v>272</v>
          </cell>
          <cell r="D319">
            <v>0.97037800000000007</v>
          </cell>
          <cell r="E319">
            <v>0.80259000000000003</v>
          </cell>
        </row>
        <row r="320">
          <cell r="B320" t="str">
            <v>SOMERSET</v>
          </cell>
          <cell r="C320">
            <v>273</v>
          </cell>
          <cell r="D320">
            <v>0.69618099999999994</v>
          </cell>
          <cell r="E320">
            <v>0.305425</v>
          </cell>
        </row>
        <row r="321">
          <cell r="B321" t="str">
            <v>SOMERVILLE</v>
          </cell>
          <cell r="C321">
            <v>274</v>
          </cell>
          <cell r="D321">
            <v>0.74187999999999998</v>
          </cell>
          <cell r="E321">
            <v>0.64264100000000002</v>
          </cell>
        </row>
        <row r="322">
          <cell r="B322" t="str">
            <v>SOUTH HADLEY</v>
          </cell>
          <cell r="C322">
            <v>275</v>
          </cell>
          <cell r="D322">
            <v>0.90844399999999992</v>
          </cell>
          <cell r="E322">
            <v>0.84510499999999988</v>
          </cell>
        </row>
        <row r="323">
          <cell r="B323" t="str">
            <v>SOUTHAMPTON</v>
          </cell>
          <cell r="C323">
            <v>276</v>
          </cell>
          <cell r="D323">
            <v>0.93817400000000006</v>
          </cell>
          <cell r="E323">
            <v>0.86190200000000006</v>
          </cell>
        </row>
        <row r="324">
          <cell r="B324" t="str">
            <v>SOUTHBOROUGH</v>
          </cell>
          <cell r="C324">
            <v>277</v>
          </cell>
          <cell r="D324">
            <v>0.80783600000000011</v>
          </cell>
          <cell r="E324">
            <v>0.65150000000000008</v>
          </cell>
        </row>
        <row r="325">
          <cell r="B325" t="str">
            <v>SOUTHBRIDGE</v>
          </cell>
          <cell r="C325">
            <v>278</v>
          </cell>
          <cell r="D325">
            <v>0.76372600000000002</v>
          </cell>
          <cell r="E325">
            <v>0.69091199999999997</v>
          </cell>
        </row>
        <row r="326">
          <cell r="B326" t="str">
            <v>SOUTHWICK</v>
          </cell>
          <cell r="C326">
            <v>279</v>
          </cell>
          <cell r="D326">
            <v>0.88190400000000002</v>
          </cell>
          <cell r="E326">
            <v>0.78251599999999999</v>
          </cell>
        </row>
        <row r="327">
          <cell r="B327" t="str">
            <v>SPENCER</v>
          </cell>
          <cell r="C327">
            <v>280</v>
          </cell>
          <cell r="D327">
            <v>0.86519299999999999</v>
          </cell>
          <cell r="E327">
            <v>0.79965299999999995</v>
          </cell>
        </row>
        <row r="328">
          <cell r="B328" t="str">
            <v>SPRINGFIELD</v>
          </cell>
          <cell r="C328">
            <v>281</v>
          </cell>
          <cell r="D328">
            <v>0.56481099999999995</v>
          </cell>
          <cell r="E328">
            <v>0.49987999999999999</v>
          </cell>
        </row>
        <row r="329">
          <cell r="B329" t="str">
            <v>STERLING</v>
          </cell>
          <cell r="C329">
            <v>282</v>
          </cell>
          <cell r="D329">
            <v>0.85477500000000006</v>
          </cell>
          <cell r="E329">
            <v>0.70655000000000001</v>
          </cell>
        </row>
        <row r="330">
          <cell r="B330" t="str">
            <v>STOCKBRIDGE</v>
          </cell>
          <cell r="C330">
            <v>283</v>
          </cell>
          <cell r="D330">
            <v>0.897702</v>
          </cell>
          <cell r="E330">
            <v>0.78825999999999996</v>
          </cell>
        </row>
        <row r="331">
          <cell r="B331" t="str">
            <v>STONEHAM</v>
          </cell>
          <cell r="C331">
            <v>284</v>
          </cell>
          <cell r="D331">
            <v>0.82478899999999999</v>
          </cell>
          <cell r="E331">
            <v>0.82196600000000009</v>
          </cell>
        </row>
        <row r="332">
          <cell r="B332" t="str">
            <v>STOUGHTON</v>
          </cell>
          <cell r="C332">
            <v>285</v>
          </cell>
          <cell r="D332">
            <v>0.67728300000000008</v>
          </cell>
          <cell r="E332">
            <v>0.67195300000000002</v>
          </cell>
        </row>
        <row r="333">
          <cell r="B333" t="str">
            <v>STOW</v>
          </cell>
          <cell r="C333">
            <v>286</v>
          </cell>
          <cell r="D333">
            <v>0.91080399999999995</v>
          </cell>
          <cell r="E333">
            <v>0.80727500000000008</v>
          </cell>
        </row>
        <row r="334">
          <cell r="B334" t="str">
            <v>STURBRIDGE</v>
          </cell>
          <cell r="C334">
            <v>287</v>
          </cell>
          <cell r="D334">
            <v>0.81050100000000003</v>
          </cell>
          <cell r="E334">
            <v>0.62319999999999998</v>
          </cell>
        </row>
        <row r="335">
          <cell r="B335" t="str">
            <v>SUDBURY</v>
          </cell>
          <cell r="C335">
            <v>288</v>
          </cell>
          <cell r="D335">
            <v>0.90957999999999994</v>
          </cell>
          <cell r="E335">
            <v>0.77417000000000002</v>
          </cell>
        </row>
        <row r="336">
          <cell r="B336" t="str">
            <v>SUNDERLAND</v>
          </cell>
          <cell r="C336">
            <v>289</v>
          </cell>
          <cell r="D336">
            <v>0.89484200000000003</v>
          </cell>
          <cell r="E336">
            <v>0.83513999999999999</v>
          </cell>
        </row>
        <row r="337">
          <cell r="B337" t="str">
            <v>SUTTON</v>
          </cell>
          <cell r="C337">
            <v>290</v>
          </cell>
          <cell r="D337">
            <v>0.88470000000000004</v>
          </cell>
          <cell r="E337">
            <v>0.79296999999999995</v>
          </cell>
        </row>
        <row r="338">
          <cell r="B338" t="str">
            <v>SWAMPSCOTT</v>
          </cell>
          <cell r="C338">
            <v>291</v>
          </cell>
          <cell r="D338">
            <v>0.88210599999999995</v>
          </cell>
          <cell r="E338">
            <v>0.87016499999999997</v>
          </cell>
        </row>
        <row r="339">
          <cell r="B339" t="str">
            <v>SWANSEA</v>
          </cell>
          <cell r="C339">
            <v>292</v>
          </cell>
          <cell r="D339">
            <v>0.75042900000000001</v>
          </cell>
          <cell r="E339">
            <v>0.68343199999999993</v>
          </cell>
        </row>
        <row r="340">
          <cell r="B340" t="str">
            <v>TAUNTON</v>
          </cell>
          <cell r="C340">
            <v>293</v>
          </cell>
          <cell r="D340">
            <v>0.61575299999999999</v>
          </cell>
          <cell r="E340">
            <v>0.61433199999999999</v>
          </cell>
        </row>
        <row r="341">
          <cell r="B341" t="str">
            <v>TEMPLETON</v>
          </cell>
          <cell r="C341">
            <v>294</v>
          </cell>
          <cell r="D341">
            <v>0.88548400000000005</v>
          </cell>
          <cell r="E341">
            <v>0.79525999999999997</v>
          </cell>
        </row>
        <row r="342">
          <cell r="B342" t="str">
            <v>TEWKSBURY</v>
          </cell>
          <cell r="C342">
            <v>295</v>
          </cell>
          <cell r="D342">
            <v>0.73568700000000009</v>
          </cell>
          <cell r="E342">
            <v>0.62148700000000001</v>
          </cell>
        </row>
        <row r="343">
          <cell r="B343" t="str">
            <v>TISBURY</v>
          </cell>
          <cell r="C343">
            <v>296</v>
          </cell>
          <cell r="D343">
            <v>0.88646800000000003</v>
          </cell>
          <cell r="E343">
            <v>0.71430000000000005</v>
          </cell>
        </row>
        <row r="344">
          <cell r="B344" t="str">
            <v>TOLLAND</v>
          </cell>
          <cell r="C344">
            <v>297</v>
          </cell>
          <cell r="D344">
            <v>0.89965000000000006</v>
          </cell>
          <cell r="E344">
            <v>0.64828000000000008</v>
          </cell>
        </row>
        <row r="345">
          <cell r="B345" t="str">
            <v>TOPSFIELD</v>
          </cell>
          <cell r="C345">
            <v>298</v>
          </cell>
          <cell r="D345">
            <v>0.91875699999999993</v>
          </cell>
          <cell r="E345">
            <v>0.885903</v>
          </cell>
        </row>
        <row r="346">
          <cell r="B346" t="str">
            <v>TOWNSEND</v>
          </cell>
          <cell r="C346">
            <v>299</v>
          </cell>
          <cell r="D346">
            <v>0.90477000000000007</v>
          </cell>
          <cell r="E346">
            <v>0.79615999999999998</v>
          </cell>
        </row>
        <row r="347">
          <cell r="B347" t="str">
            <v>TRURO</v>
          </cell>
          <cell r="C347">
            <v>300</v>
          </cell>
          <cell r="D347">
            <v>0.94260499999999992</v>
          </cell>
          <cell r="E347">
            <v>0.831793</v>
          </cell>
        </row>
        <row r="348">
          <cell r="B348" t="str">
            <v>TYNGSBOROUGH</v>
          </cell>
          <cell r="C348">
            <v>301</v>
          </cell>
          <cell r="D348">
            <v>0.87014499999999995</v>
          </cell>
          <cell r="E348">
            <v>0.75900400000000001</v>
          </cell>
        </row>
        <row r="349">
          <cell r="B349" t="str">
            <v>TYRINGHAM</v>
          </cell>
          <cell r="C349">
            <v>302</v>
          </cell>
          <cell r="D349">
            <v>0.92164400000000002</v>
          </cell>
          <cell r="E349">
            <v>0.73380999999999996</v>
          </cell>
        </row>
        <row r="350">
          <cell r="B350" t="str">
            <v>UPTON</v>
          </cell>
          <cell r="C350">
            <v>303</v>
          </cell>
          <cell r="D350">
            <v>0.94108199999999997</v>
          </cell>
          <cell r="E350">
            <v>0.84394000000000002</v>
          </cell>
        </row>
        <row r="351">
          <cell r="B351" t="str">
            <v>UXBRIDGE</v>
          </cell>
          <cell r="C351">
            <v>304</v>
          </cell>
          <cell r="D351">
            <v>0.84284499999999996</v>
          </cell>
          <cell r="E351">
            <v>0.68157799999999991</v>
          </cell>
        </row>
        <row r="352">
          <cell r="B352" t="str">
            <v>WAKEFIELD</v>
          </cell>
          <cell r="C352">
            <v>305</v>
          </cell>
          <cell r="D352">
            <v>0.74742999999999993</v>
          </cell>
          <cell r="E352">
            <v>0.66102400000000006</v>
          </cell>
        </row>
        <row r="353">
          <cell r="B353" t="str">
            <v>WALES</v>
          </cell>
          <cell r="C353">
            <v>306</v>
          </cell>
          <cell r="D353">
            <v>0.91525400000000001</v>
          </cell>
          <cell r="E353">
            <v>0.80523</v>
          </cell>
        </row>
        <row r="354">
          <cell r="B354" t="str">
            <v>WALPOLE</v>
          </cell>
          <cell r="C354">
            <v>307</v>
          </cell>
          <cell r="D354">
            <v>0.82786800000000005</v>
          </cell>
          <cell r="E354">
            <v>0.74295</v>
          </cell>
        </row>
        <row r="355">
          <cell r="B355" t="str">
            <v>WALTHAM</v>
          </cell>
          <cell r="C355">
            <v>308</v>
          </cell>
          <cell r="D355">
            <v>0.40210099999999999</v>
          </cell>
          <cell r="E355">
            <v>0.386376</v>
          </cell>
        </row>
        <row r="356">
          <cell r="B356" t="str">
            <v>WARE</v>
          </cell>
          <cell r="C356">
            <v>309</v>
          </cell>
          <cell r="D356">
            <v>0.834538</v>
          </cell>
          <cell r="E356">
            <v>0.73765000000000003</v>
          </cell>
        </row>
        <row r="357">
          <cell r="B357" t="str">
            <v>WAREHAM</v>
          </cell>
          <cell r="C357">
            <v>310</v>
          </cell>
          <cell r="D357">
            <v>0.81559899999999996</v>
          </cell>
          <cell r="E357">
            <v>0.78927099999999994</v>
          </cell>
        </row>
        <row r="358">
          <cell r="B358" t="str">
            <v>WARREN</v>
          </cell>
          <cell r="C358">
            <v>311</v>
          </cell>
          <cell r="D358">
            <v>0.85563500000000003</v>
          </cell>
          <cell r="E358">
            <v>0.54514000000000007</v>
          </cell>
        </row>
        <row r="359">
          <cell r="B359" t="str">
            <v>WARWICK</v>
          </cell>
          <cell r="C359">
            <v>312</v>
          </cell>
          <cell r="D359">
            <v>0.95048699999999997</v>
          </cell>
          <cell r="E359">
            <v>0.61722999999999995</v>
          </cell>
        </row>
        <row r="360">
          <cell r="B360" t="str">
            <v>WASHINGTON</v>
          </cell>
          <cell r="C360">
            <v>313</v>
          </cell>
          <cell r="D360">
            <v>0.95474700000000001</v>
          </cell>
          <cell r="E360">
            <v>0.59530000000000005</v>
          </cell>
        </row>
        <row r="361">
          <cell r="B361" t="str">
            <v>WATERTOWN</v>
          </cell>
          <cell r="C361">
            <v>314</v>
          </cell>
          <cell r="D361">
            <v>0.66979900000000003</v>
          </cell>
          <cell r="E361">
            <v>0.61241999999999996</v>
          </cell>
        </row>
        <row r="362">
          <cell r="B362" t="str">
            <v>WAYLAND</v>
          </cell>
          <cell r="C362">
            <v>315</v>
          </cell>
          <cell r="D362">
            <v>0.94913399999999992</v>
          </cell>
          <cell r="E362">
            <v>0.88221000000000005</v>
          </cell>
        </row>
        <row r="363">
          <cell r="B363" t="str">
            <v>WEBSTER</v>
          </cell>
          <cell r="C363">
            <v>316</v>
          </cell>
          <cell r="D363">
            <v>0.79982600000000004</v>
          </cell>
          <cell r="E363">
            <v>0.66524000000000005</v>
          </cell>
        </row>
        <row r="364">
          <cell r="B364" t="str">
            <v>WELLESLEY</v>
          </cell>
          <cell r="C364">
            <v>317</v>
          </cell>
          <cell r="D364">
            <v>0.87079099999999998</v>
          </cell>
          <cell r="E364">
            <v>0.83022000000000007</v>
          </cell>
        </row>
        <row r="365">
          <cell r="B365" t="str">
            <v>WELLFLEET</v>
          </cell>
          <cell r="C365">
            <v>318</v>
          </cell>
          <cell r="D365">
            <v>0.95533699999999999</v>
          </cell>
          <cell r="E365">
            <v>0.87060000000000004</v>
          </cell>
        </row>
        <row r="366">
          <cell r="B366" t="str">
            <v>WENDELL</v>
          </cell>
          <cell r="C366">
            <v>319</v>
          </cell>
          <cell r="D366">
            <v>0.81622299999999992</v>
          </cell>
          <cell r="E366">
            <v>0.81622299999999992</v>
          </cell>
        </row>
        <row r="367">
          <cell r="B367" t="str">
            <v>WENHAM</v>
          </cell>
          <cell r="C367">
            <v>320</v>
          </cell>
          <cell r="D367">
            <v>0.96322599999999992</v>
          </cell>
          <cell r="E367">
            <v>0.92401200000000006</v>
          </cell>
        </row>
        <row r="368">
          <cell r="B368" t="str">
            <v>WEST BOYLSTON</v>
          </cell>
          <cell r="C368">
            <v>321</v>
          </cell>
          <cell r="D368">
            <v>0.78553200000000001</v>
          </cell>
          <cell r="E368">
            <v>0.72124999999999995</v>
          </cell>
        </row>
        <row r="369">
          <cell r="B369" t="str">
            <v>WEST BRIDGEWATER</v>
          </cell>
          <cell r="C369">
            <v>322</v>
          </cell>
          <cell r="D369">
            <v>0.56573200000000001</v>
          </cell>
          <cell r="E369">
            <v>0.53801299999999996</v>
          </cell>
        </row>
        <row r="370">
          <cell r="B370" t="str">
            <v>WEST BROOKFIELD</v>
          </cell>
          <cell r="C370">
            <v>323</v>
          </cell>
          <cell r="D370">
            <v>0.91419499999999998</v>
          </cell>
          <cell r="E370">
            <v>0.74954999999999994</v>
          </cell>
        </row>
        <row r="371">
          <cell r="B371" t="str">
            <v>WEST NEWBURY</v>
          </cell>
          <cell r="C371">
            <v>324</v>
          </cell>
          <cell r="D371">
            <v>0.97164399999999995</v>
          </cell>
          <cell r="E371">
            <v>0.84676000000000007</v>
          </cell>
        </row>
        <row r="372">
          <cell r="B372" t="str">
            <v>WEST SPRINGFIELD</v>
          </cell>
          <cell r="C372">
            <v>325</v>
          </cell>
          <cell r="D372">
            <v>0.54140300000000008</v>
          </cell>
          <cell r="E372">
            <v>0.52197000000000005</v>
          </cell>
        </row>
        <row r="373">
          <cell r="B373" t="str">
            <v>WEST STOCKBRIDGE</v>
          </cell>
          <cell r="C373">
            <v>326</v>
          </cell>
          <cell r="D373">
            <v>0.93312499999999998</v>
          </cell>
          <cell r="E373">
            <v>0.73662000000000005</v>
          </cell>
        </row>
        <row r="374">
          <cell r="B374" t="str">
            <v>WEST TISBURY</v>
          </cell>
          <cell r="C374">
            <v>327</v>
          </cell>
          <cell r="D374">
            <v>0.95132800000000006</v>
          </cell>
          <cell r="E374">
            <v>0.56253999999999993</v>
          </cell>
        </row>
        <row r="375">
          <cell r="B375" t="str">
            <v>WESTBOROUGH</v>
          </cell>
          <cell r="C375">
            <v>328</v>
          </cell>
          <cell r="D375">
            <v>0.65090400000000004</v>
          </cell>
          <cell r="E375">
            <v>0.47066200000000002</v>
          </cell>
        </row>
        <row r="376">
          <cell r="B376" t="str">
            <v>WESTFIELD</v>
          </cell>
          <cell r="C376">
            <v>329</v>
          </cell>
          <cell r="D376">
            <v>0.73281200000000002</v>
          </cell>
          <cell r="E376">
            <v>0.6751640000000001</v>
          </cell>
        </row>
        <row r="377">
          <cell r="B377" t="str">
            <v>WESTFORD</v>
          </cell>
          <cell r="C377">
            <v>330</v>
          </cell>
          <cell r="D377">
            <v>0.84860100000000005</v>
          </cell>
          <cell r="E377">
            <v>0.72471100000000011</v>
          </cell>
        </row>
        <row r="378">
          <cell r="B378" t="str">
            <v>WESTHAMPTON</v>
          </cell>
          <cell r="C378">
            <v>331</v>
          </cell>
          <cell r="D378">
            <v>0.94669700000000001</v>
          </cell>
          <cell r="E378">
            <v>0.79980999999999991</v>
          </cell>
        </row>
        <row r="379">
          <cell r="B379" t="str">
            <v>WESTMINSTER</v>
          </cell>
          <cell r="C379">
            <v>332</v>
          </cell>
          <cell r="D379">
            <v>0.80841600000000002</v>
          </cell>
          <cell r="E379">
            <v>0.68122399999999994</v>
          </cell>
        </row>
        <row r="380">
          <cell r="B380" t="str">
            <v>WESTON</v>
          </cell>
          <cell r="C380">
            <v>333</v>
          </cell>
          <cell r="D380">
            <v>0.95612799999999998</v>
          </cell>
          <cell r="E380">
            <v>0.92592699999999994</v>
          </cell>
        </row>
        <row r="381">
          <cell r="B381" t="str">
            <v>WESTPORT</v>
          </cell>
          <cell r="C381">
            <v>334</v>
          </cell>
          <cell r="D381">
            <v>0.92565700000000006</v>
          </cell>
          <cell r="E381">
            <v>0.83309</v>
          </cell>
        </row>
        <row r="382">
          <cell r="B382" t="str">
            <v>WESTWOOD</v>
          </cell>
          <cell r="C382">
            <v>335</v>
          </cell>
          <cell r="D382">
            <v>0.75422900000000004</v>
          </cell>
          <cell r="E382">
            <v>0.619977</v>
          </cell>
        </row>
        <row r="383">
          <cell r="B383" t="str">
            <v>WEYMOUTH</v>
          </cell>
          <cell r="C383">
            <v>336</v>
          </cell>
          <cell r="D383">
            <v>0.77061099999999993</v>
          </cell>
          <cell r="E383">
            <v>0.75595200000000007</v>
          </cell>
        </row>
        <row r="384">
          <cell r="B384" t="str">
            <v>WHATELY</v>
          </cell>
          <cell r="C384">
            <v>337</v>
          </cell>
          <cell r="D384">
            <v>0.7443550000000001</v>
          </cell>
          <cell r="E384">
            <v>0.69128000000000001</v>
          </cell>
        </row>
        <row r="385">
          <cell r="B385" t="str">
            <v>WHITMAN</v>
          </cell>
          <cell r="C385">
            <v>338</v>
          </cell>
          <cell r="D385">
            <v>0.85997600000000007</v>
          </cell>
          <cell r="E385">
            <v>0.78217999999999999</v>
          </cell>
        </row>
        <row r="386">
          <cell r="B386" t="str">
            <v>WILBRAHAM</v>
          </cell>
          <cell r="C386">
            <v>339</v>
          </cell>
          <cell r="D386">
            <v>0.88489700000000004</v>
          </cell>
          <cell r="E386">
            <v>0.86376999999999993</v>
          </cell>
        </row>
        <row r="387">
          <cell r="B387" t="str">
            <v>WILLIAMSBURG</v>
          </cell>
          <cell r="C387">
            <v>340</v>
          </cell>
          <cell r="D387">
            <v>0.90867999999999993</v>
          </cell>
          <cell r="E387">
            <v>0.75373000000000001</v>
          </cell>
        </row>
        <row r="388">
          <cell r="B388" t="str">
            <v>WILLIAMSTOWN</v>
          </cell>
          <cell r="C388">
            <v>341</v>
          </cell>
          <cell r="D388">
            <v>0.89287099999999997</v>
          </cell>
          <cell r="E388">
            <v>0.75762399999999996</v>
          </cell>
        </row>
        <row r="389">
          <cell r="B389" t="str">
            <v>WILMINGTON</v>
          </cell>
          <cell r="C389">
            <v>342</v>
          </cell>
          <cell r="D389">
            <v>0.59186799999999995</v>
          </cell>
          <cell r="E389">
            <v>0.40000999999999998</v>
          </cell>
        </row>
        <row r="390">
          <cell r="B390" t="str">
            <v>WINCHENDON</v>
          </cell>
          <cell r="C390">
            <v>343</v>
          </cell>
          <cell r="D390">
            <v>0.89991399999999999</v>
          </cell>
          <cell r="E390">
            <v>0.72</v>
          </cell>
        </row>
        <row r="391">
          <cell r="B391" t="str">
            <v>WINCHESTER</v>
          </cell>
          <cell r="C391">
            <v>344</v>
          </cell>
          <cell r="D391">
            <v>0.95233900000000005</v>
          </cell>
          <cell r="E391">
            <v>0.87034000000000011</v>
          </cell>
        </row>
        <row r="392">
          <cell r="B392" t="str">
            <v>WINDSOR</v>
          </cell>
          <cell r="C392">
            <v>345</v>
          </cell>
          <cell r="D392">
            <v>0.92715400000000003</v>
          </cell>
          <cell r="E392">
            <v>0.70743</v>
          </cell>
        </row>
        <row r="393">
          <cell r="B393" t="str">
            <v>WINTHROP</v>
          </cell>
          <cell r="C393">
            <v>346</v>
          </cell>
          <cell r="D393">
            <v>0.93048399999999998</v>
          </cell>
          <cell r="E393">
            <v>0.91525899999999993</v>
          </cell>
        </row>
        <row r="394">
          <cell r="B394" t="str">
            <v>WOBURN</v>
          </cell>
          <cell r="C394">
            <v>347</v>
          </cell>
          <cell r="D394">
            <v>0.47895299999999996</v>
          </cell>
          <cell r="E394">
            <v>0.39077100000000003</v>
          </cell>
        </row>
        <row r="395">
          <cell r="B395" t="str">
            <v>WORCESTER</v>
          </cell>
          <cell r="C395">
            <v>348</v>
          </cell>
          <cell r="D395">
            <v>0.59981200000000001</v>
          </cell>
          <cell r="E395">
            <v>0.54122100000000006</v>
          </cell>
        </row>
        <row r="396">
          <cell r="B396" t="str">
            <v>WORTHINGTON</v>
          </cell>
          <cell r="C396">
            <v>349</v>
          </cell>
          <cell r="D396">
            <v>0.93032799999999993</v>
          </cell>
          <cell r="E396">
            <v>0.74683999999999995</v>
          </cell>
        </row>
        <row r="397">
          <cell r="B397" t="str">
            <v>WRENTHAM</v>
          </cell>
          <cell r="C397">
            <v>350</v>
          </cell>
          <cell r="D397">
            <v>0.74398700000000006</v>
          </cell>
          <cell r="E397">
            <v>0.74398700000000006</v>
          </cell>
        </row>
        <row r="398">
          <cell r="B398" t="str">
            <v>YARMOUTH</v>
          </cell>
          <cell r="C398">
            <v>351</v>
          </cell>
          <cell r="D398">
            <v>0.90186599999999995</v>
          </cell>
          <cell r="E398">
            <v>0.82161699999999993</v>
          </cell>
        </row>
        <row r="399">
          <cell r="B399" t="str">
            <v>CITY/TOWN/DISTRICT</v>
          </cell>
          <cell r="C399">
            <v>352</v>
          </cell>
          <cell r="D399">
            <v>0</v>
          </cell>
          <cell r="E399">
            <v>0</v>
          </cell>
        </row>
        <row r="400">
          <cell r="B400" t="str">
            <v>DEVENS</v>
          </cell>
          <cell r="C400">
            <v>840</v>
          </cell>
          <cell r="D400">
            <v>0.12202299999999999</v>
          </cell>
          <cell r="E400">
            <v>0.10925900000000001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50">
          <cell r="L50" t="e">
            <v>#DIV/0!</v>
          </cell>
        </row>
        <row r="51">
          <cell r="L51" t="e">
            <v>#DIV/0!</v>
          </cell>
        </row>
        <row r="52">
          <cell r="L52" t="e">
            <v>#DIV/0!</v>
          </cell>
        </row>
        <row r="53">
          <cell r="L53" t="e">
            <v>#DIV/0!</v>
          </cell>
        </row>
        <row r="54">
          <cell r="L54" t="e">
            <v>#DIV/0!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START"/>
      <sheetName val="TAX TITLE FORM"/>
      <sheetName val="A-1"/>
      <sheetName val="A-2(1ST)"/>
      <sheetName val="A-2(2ND)"/>
      <sheetName val="A-2(3RD)"/>
      <sheetName val="A-2(4TH)"/>
      <sheetName val="A-2(5TH)"/>
      <sheetName val="A-2(6TH)"/>
      <sheetName val="A-2(7TH)"/>
      <sheetName val="A-3"/>
      <sheetName val="A-4"/>
      <sheetName val="B-1"/>
      <sheetName val="B-2"/>
      <sheetName val="OL-1"/>
      <sheetName val="DE-1"/>
      <sheetName val="R&amp;O"/>
      <sheetName val="LA4"/>
      <sheetName val="LA7"/>
      <sheetName val="CHAPTER 200"/>
      <sheetName val="SELECT-CITY OR TOWN"/>
      <sheetName val="LA13 Top"/>
      <sheetName val="LA13 Bottom"/>
      <sheetName val="LA-13A"/>
      <sheetName val="PP Audit Spreadsheet"/>
      <sheetName val="LEVYLIMIT"/>
      <sheetName val="OPTIONS TABLE OLD"/>
      <sheetName val="OPTIONS TABLE"/>
      <sheetName val="LA5 INPUT"/>
      <sheetName val="LA5 FORM"/>
      <sheetName val="RECAP PAGE 1"/>
      <sheetName val="RECAP PAGE 2"/>
      <sheetName val="RECAP PAGE 3"/>
      <sheetName val="RECAP PAGE 4"/>
      <sheetName val="PRO FORMA PAGE 1"/>
      <sheetName val="PRO FORMA PAGE 2"/>
      <sheetName val="PRO FORMA PAGE 3"/>
      <sheetName val="PRO FORMA PAGE 4"/>
      <sheetName val="Sheet1"/>
      <sheetName val="Sheet2"/>
      <sheetName val="Sheet3"/>
      <sheetName val="Sheet4"/>
      <sheetName val="Module2"/>
      <sheetName val="Module15"/>
      <sheetName val="Module30"/>
      <sheetName val="Module35"/>
      <sheetName val="Module37"/>
      <sheetName val="Module38"/>
      <sheetName val="Module42"/>
      <sheetName val="Module44"/>
      <sheetName val="Module46"/>
      <sheetName val="Module45"/>
      <sheetName val="Module47"/>
      <sheetName val="Module48"/>
      <sheetName val="Module49"/>
      <sheetName val="Module50"/>
      <sheetName val="Module51"/>
      <sheetName val="Module52"/>
      <sheetName val="Module53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2">
          <cell r="D32" t="e">
            <v>#DIV/0!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START"/>
      <sheetName val="TAX TITLE FORM"/>
      <sheetName val="A-1"/>
      <sheetName val="A-2(1ST)"/>
      <sheetName val="A-2(2ND)"/>
      <sheetName val="A-2(3RD)"/>
      <sheetName val="A-2(4TH)"/>
      <sheetName val="A-2(5TH)"/>
      <sheetName val="A-2(6TH)"/>
      <sheetName val="A-2(7TH)"/>
      <sheetName val="A-3"/>
      <sheetName val="A-4"/>
      <sheetName val="B-1"/>
      <sheetName val="B-2"/>
      <sheetName val="OL-1"/>
      <sheetName val="DE-1"/>
      <sheetName val="R&amp;O"/>
      <sheetName val="LA4"/>
      <sheetName val="LA7"/>
      <sheetName val="CHAPTER 200"/>
      <sheetName val="SELECT-CITY OR TOWN"/>
      <sheetName val="LA13 Top"/>
      <sheetName val="LA13 Bottom"/>
      <sheetName val="LA-13A"/>
      <sheetName val="PP Audit Spreadsheet"/>
      <sheetName val="LEVYLIMIT"/>
      <sheetName val="OPTIONS TABLE OLD"/>
      <sheetName val="OPTIONS TABLE"/>
      <sheetName val="LA5 INPUT"/>
      <sheetName val="LA5 FORM"/>
      <sheetName val="RECAP PAGE 1"/>
      <sheetName val="RECAP PAGE 2"/>
      <sheetName val="RECAP PAGE 3"/>
      <sheetName val="RECAP PAGE 4"/>
      <sheetName val="PRO FORMA PAGE 1"/>
      <sheetName val="PRO FORMA PAGE 2"/>
      <sheetName val="PRO FORMA PAGE 3"/>
      <sheetName val="PRO FORMA PAGE 4"/>
      <sheetName val="Sheet1"/>
      <sheetName val="Sheet2"/>
      <sheetName val="Sheet3"/>
      <sheetName val="Sheet4"/>
      <sheetName val="Module2"/>
      <sheetName val="Module15"/>
      <sheetName val="Module30"/>
      <sheetName val="Module35"/>
      <sheetName val="Module37"/>
      <sheetName val="Module38"/>
      <sheetName val="Module42"/>
      <sheetName val="Module44"/>
      <sheetName val="Module46"/>
      <sheetName val="Module45"/>
      <sheetName val="Module47"/>
      <sheetName val="Module48"/>
      <sheetName val="Module49"/>
      <sheetName val="Module50"/>
      <sheetName val="Module51"/>
      <sheetName val="Module52"/>
      <sheetName val="Module53"/>
      <sheetName val="Sheet6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6">
          <cell r="J226">
            <v>0</v>
          </cell>
        </row>
      </sheetData>
      <sheetData sheetId="17" refreshError="1"/>
      <sheetData sheetId="18">
        <row r="35">
          <cell r="I35">
            <v>23335027792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28">
          <cell r="H28" t="e">
            <v>#VALUE!</v>
          </cell>
        </row>
      </sheetData>
      <sheetData sheetId="24">
        <row r="19">
          <cell r="E19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173"/>
  <sheetViews>
    <sheetView showGridLines="0" tabSelected="1" zoomScaleNormal="100" workbookViewId="0">
      <selection sqref="A1:C1"/>
    </sheetView>
  </sheetViews>
  <sheetFormatPr defaultColWidth="9.140625" defaultRowHeight="15"/>
  <cols>
    <col min="1" max="1" width="21.140625" style="11" customWidth="1"/>
    <col min="2" max="2" width="19.85546875" style="11" customWidth="1"/>
    <col min="3" max="4" width="13" style="11" customWidth="1"/>
    <col min="5" max="5" width="13.85546875" style="11" bestFit="1" customWidth="1"/>
    <col min="6" max="6" width="11.42578125" style="11" customWidth="1"/>
    <col min="7" max="7" width="13.42578125" style="11" customWidth="1"/>
    <col min="8" max="8" width="17.42578125" style="11" customWidth="1"/>
    <col min="9" max="9" width="14.5703125" style="11" customWidth="1"/>
    <col min="10" max="10" width="10.5703125" style="11" customWidth="1"/>
    <col min="11" max="11" width="12.28515625" style="11" bestFit="1" customWidth="1"/>
    <col min="12" max="12" width="15.42578125" style="11" customWidth="1"/>
    <col min="13" max="13" width="10.85546875" style="11" bestFit="1" customWidth="1"/>
    <col min="14" max="14" width="12.28515625" style="11" bestFit="1" customWidth="1"/>
    <col min="15" max="15" width="10.5703125" style="11" customWidth="1"/>
    <col min="16" max="16" width="12.140625" style="11" customWidth="1"/>
    <col min="17" max="17" width="12.42578125" style="11" customWidth="1"/>
    <col min="18" max="18" width="8.140625" style="11" bestFit="1" customWidth="1"/>
    <col min="19" max="19" width="9.140625" style="11"/>
    <col min="20" max="20" width="10" style="11" customWidth="1"/>
    <col min="21" max="21" width="9.140625" style="11" hidden="1" customWidth="1"/>
    <col min="22" max="23" width="9.140625" style="55" hidden="1" customWidth="1"/>
    <col min="24" max="24" width="13.7109375" style="55" hidden="1" customWidth="1"/>
    <col min="25" max="25" width="16.28515625" style="55" hidden="1" customWidth="1"/>
    <col min="26" max="26" width="14.140625" style="55" hidden="1" customWidth="1"/>
    <col min="27" max="27" width="11" style="55" hidden="1" customWidth="1"/>
    <col min="28" max="28" width="9.85546875" style="55" hidden="1" customWidth="1"/>
    <col min="29" max="29" width="14.140625" style="55" hidden="1" customWidth="1"/>
    <col min="30" max="32" width="9.140625" style="55" hidden="1" customWidth="1"/>
    <col min="33" max="36" width="9.140625" style="11" hidden="1" customWidth="1"/>
    <col min="37" max="110" width="9.140625" style="11" customWidth="1"/>
    <col min="111" max="16384" width="9.140625" style="11"/>
  </cols>
  <sheetData>
    <row r="1" spans="1:30" ht="20.25">
      <c r="A1" s="294" t="s">
        <v>165</v>
      </c>
      <c r="B1" s="287"/>
      <c r="C1" s="287"/>
      <c r="D1" s="8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18.75">
      <c r="A2" s="16"/>
      <c r="B2" s="8"/>
      <c r="C2" s="8"/>
      <c r="D2" s="8"/>
      <c r="E2" s="8"/>
      <c r="F2" s="310"/>
      <c r="G2" s="311"/>
      <c r="H2" s="311"/>
      <c r="I2" s="311"/>
      <c r="J2" s="311"/>
      <c r="K2" s="10"/>
      <c r="L2" s="10"/>
      <c r="M2" s="10"/>
      <c r="N2" s="10"/>
      <c r="O2" s="10"/>
      <c r="P2" s="10"/>
      <c r="Q2" s="10"/>
      <c r="R2" s="10"/>
      <c r="S2" s="10"/>
    </row>
    <row r="3" spans="1:30" ht="15.75">
      <c r="A3" s="8"/>
      <c r="B3" s="8"/>
      <c r="C3" s="8"/>
      <c r="D3" s="8"/>
      <c r="E3" s="8"/>
      <c r="K3" s="10"/>
      <c r="L3" s="10"/>
      <c r="M3" s="10"/>
      <c r="N3" s="10"/>
      <c r="O3" s="191"/>
      <c r="P3" s="10"/>
      <c r="Q3" s="10"/>
      <c r="R3" s="10"/>
      <c r="S3" s="10"/>
    </row>
    <row r="4" spans="1:30" ht="15.75">
      <c r="A4" s="190" t="s">
        <v>10</v>
      </c>
      <c r="B4" s="190" t="s">
        <v>631</v>
      </c>
      <c r="C4" s="72" t="s">
        <v>137</v>
      </c>
      <c r="D4" s="8"/>
      <c r="E4" s="8"/>
      <c r="F4" s="292" t="s">
        <v>138</v>
      </c>
      <c r="G4" s="293"/>
      <c r="H4" s="10"/>
      <c r="I4" s="10"/>
      <c r="J4" s="17" t="s">
        <v>139</v>
      </c>
      <c r="K4" s="10"/>
      <c r="L4" s="10"/>
      <c r="M4" s="10"/>
      <c r="N4" s="10"/>
      <c r="R4" s="10"/>
      <c r="S4" s="10"/>
    </row>
    <row r="5" spans="1:30" ht="30" customHeight="1">
      <c r="A5" s="18" t="s">
        <v>140</v>
      </c>
      <c r="B5" s="49"/>
      <c r="C5" s="45" t="str">
        <f>IF(optiontot=0,"",optionres/optiontot)</f>
        <v/>
      </c>
      <c r="D5" s="19" t="s">
        <v>218</v>
      </c>
      <c r="E5" s="8"/>
      <c r="F5" s="20" t="s">
        <v>141</v>
      </c>
      <c r="G5" s="20"/>
      <c r="H5" s="203"/>
      <c r="I5" s="10"/>
      <c r="J5" s="21" t="s">
        <v>141</v>
      </c>
      <c r="K5" s="22"/>
      <c r="L5" s="204"/>
      <c r="R5" s="10"/>
      <c r="S5" s="10"/>
      <c r="AA5" s="314" t="s">
        <v>225</v>
      </c>
      <c r="AB5" s="300"/>
      <c r="AC5" s="290">
        <f>ROUND(exemcompct*exemcomel,0)</f>
        <v>0</v>
      </c>
      <c r="AD5" s="291"/>
    </row>
    <row r="6" spans="1:30" ht="30" customHeight="1">
      <c r="A6" s="18" t="s">
        <v>142</v>
      </c>
      <c r="B6" s="49"/>
      <c r="C6" s="46" t="str">
        <f>IF(optiontot=0,"",optionos/optiontot)</f>
        <v/>
      </c>
      <c r="D6" s="45" t="str">
        <f>IF(optiontot=0,"",optionrespct+optionospct)</f>
        <v/>
      </c>
      <c r="E6" s="8"/>
      <c r="F6" s="20" t="s">
        <v>143</v>
      </c>
      <c r="G6" s="20"/>
      <c r="H6" s="49"/>
      <c r="I6" s="10"/>
      <c r="J6" s="319" t="s">
        <v>220</v>
      </c>
      <c r="K6" s="300"/>
      <c r="L6" s="62"/>
      <c r="M6" s="60"/>
      <c r="N6" s="208"/>
      <c r="R6" s="10"/>
      <c r="S6" s="10"/>
    </row>
    <row r="7" spans="1:30" ht="30" customHeight="1">
      <c r="A7" s="18" t="s">
        <v>144</v>
      </c>
      <c r="B7" s="49"/>
      <c r="C7" s="46" t="str">
        <f>IF(optiontot=0,"",optioncom/optiontot)</f>
        <v/>
      </c>
      <c r="D7" s="8"/>
      <c r="E7" s="8"/>
      <c r="F7" s="20" t="s">
        <v>145</v>
      </c>
      <c r="G7" s="20"/>
      <c r="H7" s="74"/>
      <c r="I7" s="10"/>
      <c r="J7" s="20" t="s">
        <v>146</v>
      </c>
      <c r="K7" s="20"/>
      <c r="L7" s="63"/>
      <c r="M7" s="61"/>
      <c r="N7" s="209"/>
      <c r="O7" s="209"/>
      <c r="P7" s="209"/>
      <c r="S7" s="10"/>
      <c r="AA7" s="17" t="s">
        <v>249</v>
      </c>
      <c r="AB7" s="10"/>
      <c r="AC7" s="10"/>
    </row>
    <row r="8" spans="1:30" ht="30" customHeight="1">
      <c r="A8" s="18" t="s">
        <v>147</v>
      </c>
      <c r="B8" s="49"/>
      <c r="C8" s="46" t="str">
        <f>IF(optiontot=0,"",optionind/optiontot)</f>
        <v/>
      </c>
      <c r="D8" s="19" t="s">
        <v>148</v>
      </c>
      <c r="E8" s="8"/>
      <c r="F8" s="67" t="s">
        <v>219</v>
      </c>
      <c r="G8" s="68"/>
      <c r="H8" s="68"/>
      <c r="I8" s="10"/>
      <c r="J8" s="67" t="s">
        <v>221</v>
      </c>
      <c r="K8" s="68"/>
      <c r="L8" s="68"/>
      <c r="M8" s="10"/>
      <c r="Q8" s="10"/>
      <c r="R8" s="10"/>
      <c r="S8" s="10"/>
      <c r="AA8" s="320" t="s">
        <v>247</v>
      </c>
      <c r="AB8" s="321"/>
      <c r="AC8" s="211"/>
    </row>
    <row r="9" spans="1:30" ht="30" customHeight="1">
      <c r="A9" s="18" t="s">
        <v>217</v>
      </c>
      <c r="B9" s="49"/>
      <c r="C9" s="46" t="str">
        <f>IF(optiontot=0,"",optionpp/optiontot)</f>
        <v/>
      </c>
      <c r="D9" s="45" t="str">
        <f>IF(optiontot=0,"",optioncompct+optionindpct+optionpppct)</f>
        <v/>
      </c>
      <c r="E9" s="8"/>
      <c r="F9" s="315" t="str">
        <f>IF(ISBLANK(H7)=TRUE," ",optionres-(ROUND(ROUND(optionres/$H$6,0)*$H$7,0)*H5))</f>
        <v xml:space="preserve"> </v>
      </c>
      <c r="G9" s="304"/>
      <c r="I9" s="10"/>
      <c r="J9" s="315">
        <f>SUM((optioncom+optionind)-ROUND($L$7*L6,0))</f>
        <v>0</v>
      </c>
      <c r="K9" s="316"/>
      <c r="L9" s="56"/>
      <c r="M9" s="71"/>
      <c r="Q9" s="10"/>
      <c r="R9" s="10"/>
      <c r="S9" s="10"/>
      <c r="AA9" s="319" t="s">
        <v>248</v>
      </c>
      <c r="AB9" s="299"/>
      <c r="AC9" s="212">
        <f>IF(ISBLANK(osdisc)=TRUE,1,(optionrespct+optionospct)/(optionrespct+(1-osdisc)*optionospct))</f>
        <v>1</v>
      </c>
    </row>
    <row r="10" spans="1:30" ht="30" customHeight="1">
      <c r="A10" s="18" t="s">
        <v>149</v>
      </c>
      <c r="B10" s="47">
        <f>SUM(B5:B9)</f>
        <v>0</v>
      </c>
      <c r="C10" s="46">
        <f>SUM(C5:C9)</f>
        <v>0</v>
      </c>
      <c r="D10" s="23"/>
      <c r="E10" s="8"/>
      <c r="F10" s="10"/>
      <c r="G10" s="10"/>
      <c r="I10" s="10"/>
      <c r="J10" s="10"/>
      <c r="K10" s="10"/>
      <c r="L10" s="10"/>
      <c r="M10" s="76"/>
      <c r="N10" s="77"/>
      <c r="O10" s="78"/>
      <c r="Q10" s="10"/>
      <c r="R10" s="10"/>
      <c r="S10" s="10"/>
    </row>
    <row r="11" spans="1:30" ht="15.75">
      <c r="A11" s="8"/>
      <c r="B11" s="8"/>
      <c r="C11" s="8"/>
      <c r="D11" s="8"/>
      <c r="I11" s="59"/>
      <c r="J11" s="71"/>
      <c r="Q11" s="10"/>
      <c r="R11" s="10"/>
      <c r="S11" s="10"/>
    </row>
    <row r="12" spans="1:30" ht="25.9" customHeight="1">
      <c r="A12" s="301" t="str">
        <f>IF(B14&gt;B13,"Over Levy Limit!", " ")</f>
        <v xml:space="preserve"> </v>
      </c>
      <c r="B12" s="302"/>
      <c r="D12" s="24"/>
      <c r="H12" s="69"/>
      <c r="J12" s="303" t="s">
        <v>150</v>
      </c>
      <c r="K12" s="304"/>
      <c r="L12" s="48" t="str">
        <f>IF(optiontot=0,"",ROUND(optionlevy/optiontot*1000,2))</f>
        <v/>
      </c>
      <c r="Q12" s="10"/>
      <c r="R12" s="10"/>
      <c r="S12" s="10"/>
    </row>
    <row r="13" spans="1:30" ht="36" customHeight="1">
      <c r="A13" s="216" t="s">
        <v>621</v>
      </c>
      <c r="B13" s="217">
        <f>maxlevy</f>
        <v>0</v>
      </c>
      <c r="C13" s="288"/>
      <c r="D13" s="289"/>
      <c r="E13" s="192"/>
      <c r="F13" s="193"/>
      <c r="G13" s="193"/>
      <c r="H13" s="193"/>
      <c r="I13" s="194" t="s">
        <v>226</v>
      </c>
      <c r="J13" s="193"/>
      <c r="K13" s="193"/>
      <c r="L13" s="193"/>
      <c r="M13"/>
      <c r="N13"/>
      <c r="Q13" s="10"/>
      <c r="R13" s="10"/>
      <c r="S13" s="10"/>
    </row>
    <row r="14" spans="1:30" ht="30" customHeight="1">
      <c r="A14" s="70" t="s">
        <v>246</v>
      </c>
      <c r="B14" s="218">
        <f>TLEVY</f>
        <v>0</v>
      </c>
      <c r="D14"/>
      <c r="E14" s="298" t="s">
        <v>625</v>
      </c>
      <c r="F14" s="299"/>
      <c r="G14" s="299"/>
      <c r="H14" s="300"/>
      <c r="I14" s="214">
        <v>1</v>
      </c>
      <c r="J14" s="295" t="s">
        <v>626</v>
      </c>
      <c r="K14" s="296"/>
      <c r="L14" s="296"/>
      <c r="M14" s="297"/>
      <c r="R14" s="10"/>
      <c r="S14" s="10"/>
    </row>
    <row r="15" spans="1:30" ht="44.25" customHeight="1">
      <c r="A15" s="220" t="s">
        <v>622</v>
      </c>
      <c r="B15" s="219"/>
      <c r="C15" s="286"/>
      <c r="D15" s="287"/>
      <c r="G15" s="317" t="s">
        <v>198</v>
      </c>
      <c r="H15" s="318"/>
      <c r="I15" s="213" t="e">
        <f>VLOOKUP(shiftper,tableabc,2)</f>
        <v>#VALUE!</v>
      </c>
      <c r="K15" s="75"/>
      <c r="R15" s="10"/>
      <c r="S15" s="10"/>
    </row>
    <row r="16" spans="1:30">
      <c r="A16" s="8"/>
      <c r="F16" s="25"/>
      <c r="G16" s="8"/>
      <c r="H16" s="8"/>
      <c r="I16" s="8"/>
      <c r="J16" s="10"/>
      <c r="K16" s="10"/>
      <c r="L16" s="10"/>
      <c r="N16" s="8"/>
      <c r="O16" s="10"/>
      <c r="P16" s="10"/>
      <c r="Q16" s="10"/>
      <c r="R16" s="10"/>
      <c r="S16" s="10"/>
    </row>
    <row r="17" spans="1:19" ht="15.75" hidden="1">
      <c r="A17" s="8"/>
      <c r="F17" s="26"/>
      <c r="H17" s="11" t="s">
        <v>182</v>
      </c>
      <c r="P17" s="10"/>
      <c r="Q17" s="10"/>
      <c r="R17" s="10"/>
      <c r="S17" s="10"/>
    </row>
    <row r="18" spans="1:19" hidden="1">
      <c r="A18" s="11" t="s">
        <v>178</v>
      </c>
      <c r="B18" s="11" t="e">
        <f>IF((1-(ROUND(1.5*optioncippct,6)))/optionropct&lt;0.65,0.65,(1-(ROUND(1.5*optioncippct,6)))/optionropct)</f>
        <v>#VALUE!</v>
      </c>
      <c r="C18" s="11" t="e">
        <f>ROUND(B18*optionrespct,6)</f>
        <v>#VALUE!</v>
      </c>
      <c r="D18" s="58" t="e">
        <f>ROUND((1-ROUND((optionropct*optionmrf),6))/optioncippct,6)</f>
        <v>#VALUE!</v>
      </c>
      <c r="F18" s="10"/>
      <c r="G18" s="10"/>
      <c r="H18" s="10" t="s">
        <v>183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idden="1">
      <c r="A19" s="11" t="s">
        <v>179</v>
      </c>
      <c r="B19" s="57" t="e">
        <f>IF((1-(ROUND(1.75*optioncippct,6)))/optionropct&lt;0.5,0.5,(1-(ROUND(1.75*optioncippct,6)))/optionropct)</f>
        <v>#VALUE!</v>
      </c>
      <c r="C19" s="57" t="e">
        <f>ROUND(B19*optionrespct,6)</f>
        <v>#VALUE!</v>
      </c>
      <c r="D19" s="58" t="e">
        <f>ROUND((1-ROUND((optionropct*optionshift200),6))/optioncippct,6)</f>
        <v>#VALUE!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idden="1">
      <c r="A20" s="11" t="s">
        <v>180</v>
      </c>
      <c r="B20" s="11" t="s">
        <v>0</v>
      </c>
      <c r="C20" s="56">
        <v>0.305425</v>
      </c>
      <c r="D20" s="11" t="s">
        <v>181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0"/>
    </row>
    <row r="21" spans="1:19">
      <c r="A21" s="221" t="s">
        <v>151</v>
      </c>
      <c r="B21" s="221" t="s">
        <v>152</v>
      </c>
      <c r="C21" s="21" t="s">
        <v>153</v>
      </c>
      <c r="D21" s="28"/>
      <c r="E21" s="28"/>
      <c r="F21" s="28"/>
      <c r="G21" s="28"/>
      <c r="H21" s="22"/>
      <c r="I21" s="21" t="s">
        <v>154</v>
      </c>
      <c r="J21" s="28"/>
      <c r="K21" s="28"/>
      <c r="L21" s="28"/>
      <c r="M21" s="28"/>
      <c r="N21" s="22"/>
      <c r="O21" s="29" t="s">
        <v>155</v>
      </c>
      <c r="P21" s="30"/>
      <c r="Q21" s="30"/>
      <c r="R21" s="30"/>
      <c r="S21" s="31"/>
    </row>
    <row r="22" spans="1:19">
      <c r="A22" s="27"/>
      <c r="B22" s="27"/>
      <c r="C22" s="32" t="s">
        <v>156</v>
      </c>
      <c r="D22" s="32" t="s">
        <v>157</v>
      </c>
      <c r="E22" s="32" t="s">
        <v>158</v>
      </c>
      <c r="F22" s="32" t="s">
        <v>159</v>
      </c>
      <c r="G22" s="32" t="s">
        <v>160</v>
      </c>
      <c r="H22" s="32" t="s">
        <v>104</v>
      </c>
      <c r="I22" s="32" t="s">
        <v>161</v>
      </c>
      <c r="J22" s="32" t="s">
        <v>162</v>
      </c>
      <c r="K22" s="32" t="s">
        <v>163</v>
      </c>
      <c r="L22" s="32" t="s">
        <v>164</v>
      </c>
      <c r="M22" s="32" t="s">
        <v>160</v>
      </c>
      <c r="N22" s="32" t="s">
        <v>104</v>
      </c>
      <c r="O22" s="32" t="s">
        <v>156</v>
      </c>
      <c r="P22" s="32" t="s">
        <v>162</v>
      </c>
      <c r="Q22" s="32" t="s">
        <v>158</v>
      </c>
      <c r="R22" s="32" t="s">
        <v>159</v>
      </c>
      <c r="S22" s="32" t="s">
        <v>160</v>
      </c>
    </row>
    <row r="23" spans="1:19">
      <c r="A23" s="222">
        <v>1</v>
      </c>
      <c r="B23" s="205" t="e">
        <f t="shared" ref="B23" si="0">((1-(A23*optioncippct))/optionropct*100)</f>
        <v>#VALUE!</v>
      </c>
      <c r="C23" s="34" t="e">
        <f t="shared" ref="C23:C86" si="1">$B23*optionrespct</f>
        <v>#VALUE!</v>
      </c>
      <c r="D23" s="35" t="e">
        <f t="shared" ref="D23:D86" si="2">$B23*optionospct</f>
        <v>#VALUE!</v>
      </c>
      <c r="E23" s="35" t="e">
        <f t="shared" ref="E23:E86" si="3">$A23*optioncompct*100</f>
        <v>#VALUE!</v>
      </c>
      <c r="F23" s="35" t="e">
        <f t="shared" ref="F23:F86" si="4">$A23*optionindpct*100</f>
        <v>#VALUE!</v>
      </c>
      <c r="G23" s="35" t="e">
        <f t="shared" ref="G23:G86" si="5">$A23*optionpppct*100</f>
        <v>#VALUE!</v>
      </c>
      <c r="H23" s="33" t="e">
        <f t="shared" ref="H23" si="6">SUM(C23:G23)</f>
        <v>#VALUE!</v>
      </c>
      <c r="I23" s="13" t="e">
        <f t="shared" ref="I23" si="7">C23*optionlevy/100</f>
        <v>#VALUE!</v>
      </c>
      <c r="J23" s="14" t="e">
        <f t="shared" ref="J23" si="8">D23*optionlevy/100</f>
        <v>#VALUE!</v>
      </c>
      <c r="K23" s="14" t="e">
        <f t="shared" ref="K23" si="9">E23*optionlevy/100</f>
        <v>#VALUE!</v>
      </c>
      <c r="L23" s="14" t="e">
        <f t="shared" ref="L23" si="10">F23*optionlevy/100</f>
        <v>#VALUE!</v>
      </c>
      <c r="M23" s="14" t="e">
        <f t="shared" ref="M23" si="11">G23*optionlevy/100</f>
        <v>#VALUE!</v>
      </c>
      <c r="N23" s="15" t="e">
        <f t="shared" ref="N23" si="12">SUM(I23:M23)</f>
        <v>#VALUE!</v>
      </c>
      <c r="O23" s="36" t="e">
        <f t="shared" ref="O23:O86" si="13">IF(ISBLANK(resexem)=TRUE,ROUND($I23/optionres*1000,2),ROUND($I23/optionresex*1000,2))</f>
        <v>#VALUE!</v>
      </c>
      <c r="P23" s="36" t="str">
        <f t="shared" ref="P23:P86" si="14">IF(optionos=0," ",ROUND($J23/optionos*1000,2))</f>
        <v xml:space="preserve"> </v>
      </c>
      <c r="Q23" s="36" t="e">
        <f>IF(ISBLANK(comexem)=TRUE,ROUND($K23/optioncom*1000,2),ROUND(($K23+$L23)/optioncomex*1000,2))</f>
        <v>#VALUE!</v>
      </c>
      <c r="R23" s="36" t="e">
        <f>IF(ISBLANK(comexem)=TRUE,ROUND($L23/optionind*1000,2),ROUND(($K23+$L23)/optioncomex*1000,2))</f>
        <v>#VALUE!</v>
      </c>
      <c r="S23" s="37" t="e">
        <f t="shared" ref="S23:S86" si="15">ROUND($M23/optionpp*1000,2)</f>
        <v>#VALUE!</v>
      </c>
    </row>
    <row r="24" spans="1:19">
      <c r="A24" s="222">
        <v>1.0049999999999999</v>
      </c>
      <c r="B24" s="205" t="e">
        <f t="shared" ref="B24:B87" si="16">((1-(A24*optioncippct))/optionropct*100)</f>
        <v>#VALUE!</v>
      </c>
      <c r="C24" s="34" t="e">
        <f t="shared" si="1"/>
        <v>#VALUE!</v>
      </c>
      <c r="D24" s="35" t="e">
        <f t="shared" si="2"/>
        <v>#VALUE!</v>
      </c>
      <c r="E24" s="35" t="e">
        <f t="shared" si="3"/>
        <v>#VALUE!</v>
      </c>
      <c r="F24" s="35" t="e">
        <f t="shared" si="4"/>
        <v>#VALUE!</v>
      </c>
      <c r="G24" s="35" t="e">
        <f t="shared" si="5"/>
        <v>#VALUE!</v>
      </c>
      <c r="H24" s="33" t="e">
        <f t="shared" ref="H24:H87" si="17">SUM(C24:G24)</f>
        <v>#VALUE!</v>
      </c>
      <c r="I24" s="13" t="e">
        <f t="shared" ref="I24:I87" si="18">C24*optionlevy/100</f>
        <v>#VALUE!</v>
      </c>
      <c r="J24" s="14" t="e">
        <f t="shared" ref="J24:J87" si="19">D24*optionlevy/100</f>
        <v>#VALUE!</v>
      </c>
      <c r="K24" s="14" t="e">
        <f t="shared" ref="K24:K87" si="20">E24*optionlevy/100</f>
        <v>#VALUE!</v>
      </c>
      <c r="L24" s="14" t="e">
        <f t="shared" ref="L24:L87" si="21">F24*optionlevy/100</f>
        <v>#VALUE!</v>
      </c>
      <c r="M24" s="14" t="e">
        <f t="shared" ref="M24:M87" si="22">G24*optionlevy/100</f>
        <v>#VALUE!</v>
      </c>
      <c r="N24" s="15" t="e">
        <f t="shared" ref="N24:N87" si="23">SUM(I24:M24)</f>
        <v>#VALUE!</v>
      </c>
      <c r="O24" s="36" t="e">
        <f t="shared" si="13"/>
        <v>#VALUE!</v>
      </c>
      <c r="P24" s="36" t="str">
        <f t="shared" si="14"/>
        <v xml:space="preserve"> </v>
      </c>
      <c r="Q24" s="36" t="e">
        <f>IF(ISBLANK(comexem)=TRUE,ROUND($K24/optioncom*1000,2),ROUND(($K24+$L24)/optioncomex*1000,2))</f>
        <v>#VALUE!</v>
      </c>
      <c r="R24" s="36" t="e">
        <f>IF(ISBLANK(comexem)=TRUE,ROUND($L24/optionind*1000,2),ROUND(($K24+$L24)/optioncomex*1000,2))</f>
        <v>#VALUE!</v>
      </c>
      <c r="S24" s="37" t="e">
        <f t="shared" si="15"/>
        <v>#VALUE!</v>
      </c>
    </row>
    <row r="25" spans="1:19">
      <c r="A25" s="222">
        <v>1.01</v>
      </c>
      <c r="B25" s="205" t="e">
        <f t="shared" si="16"/>
        <v>#VALUE!</v>
      </c>
      <c r="C25" s="34" t="e">
        <f t="shared" si="1"/>
        <v>#VALUE!</v>
      </c>
      <c r="D25" s="35" t="e">
        <f t="shared" si="2"/>
        <v>#VALUE!</v>
      </c>
      <c r="E25" s="35" t="e">
        <f t="shared" si="3"/>
        <v>#VALUE!</v>
      </c>
      <c r="F25" s="35" t="e">
        <f t="shared" si="4"/>
        <v>#VALUE!</v>
      </c>
      <c r="G25" s="35" t="e">
        <f t="shared" si="5"/>
        <v>#VALUE!</v>
      </c>
      <c r="H25" s="33" t="e">
        <f t="shared" si="17"/>
        <v>#VALUE!</v>
      </c>
      <c r="I25" s="13" t="e">
        <f t="shared" si="18"/>
        <v>#VALUE!</v>
      </c>
      <c r="J25" s="14" t="e">
        <f t="shared" si="19"/>
        <v>#VALUE!</v>
      </c>
      <c r="K25" s="14" t="e">
        <f t="shared" si="20"/>
        <v>#VALUE!</v>
      </c>
      <c r="L25" s="14" t="e">
        <f t="shared" si="21"/>
        <v>#VALUE!</v>
      </c>
      <c r="M25" s="14" t="e">
        <f t="shared" si="22"/>
        <v>#VALUE!</v>
      </c>
      <c r="N25" s="15" t="e">
        <f t="shared" si="23"/>
        <v>#VALUE!</v>
      </c>
      <c r="O25" s="36" t="e">
        <f t="shared" si="13"/>
        <v>#VALUE!</v>
      </c>
      <c r="P25" s="36" t="str">
        <f t="shared" si="14"/>
        <v xml:space="preserve"> </v>
      </c>
      <c r="Q25" s="36" t="e">
        <f>IF(ISBLANK(comexem)=TRUE,ROUND($K25/optioncom*1000,2),ROUND(($K25+$L25)/optioncomex*1000,2))</f>
        <v>#VALUE!</v>
      </c>
      <c r="R25" s="36" t="e">
        <f>IF(ISBLANK(comexem)=TRUE,ROUND($L25/optionind*1000,2),ROUND(($K25+$L25)/optioncomex*1000,2))</f>
        <v>#VALUE!</v>
      </c>
      <c r="S25" s="37" t="e">
        <f t="shared" si="15"/>
        <v>#VALUE!</v>
      </c>
    </row>
    <row r="26" spans="1:19">
      <c r="A26" s="222">
        <v>1.0149999999999999</v>
      </c>
      <c r="B26" s="205" t="e">
        <f t="shared" si="16"/>
        <v>#VALUE!</v>
      </c>
      <c r="C26" s="34" t="e">
        <f t="shared" si="1"/>
        <v>#VALUE!</v>
      </c>
      <c r="D26" s="35" t="e">
        <f t="shared" si="2"/>
        <v>#VALUE!</v>
      </c>
      <c r="E26" s="35" t="e">
        <f t="shared" si="3"/>
        <v>#VALUE!</v>
      </c>
      <c r="F26" s="35" t="e">
        <f t="shared" si="4"/>
        <v>#VALUE!</v>
      </c>
      <c r="G26" s="35" t="e">
        <f t="shared" si="5"/>
        <v>#VALUE!</v>
      </c>
      <c r="H26" s="33" t="e">
        <f t="shared" si="17"/>
        <v>#VALUE!</v>
      </c>
      <c r="I26" s="13" t="e">
        <f t="shared" si="18"/>
        <v>#VALUE!</v>
      </c>
      <c r="J26" s="14" t="e">
        <f t="shared" si="19"/>
        <v>#VALUE!</v>
      </c>
      <c r="K26" s="14" t="e">
        <f t="shared" si="20"/>
        <v>#VALUE!</v>
      </c>
      <c r="L26" s="14" t="e">
        <f t="shared" si="21"/>
        <v>#VALUE!</v>
      </c>
      <c r="M26" s="14" t="e">
        <f t="shared" si="22"/>
        <v>#VALUE!</v>
      </c>
      <c r="N26" s="15" t="e">
        <f t="shared" si="23"/>
        <v>#VALUE!</v>
      </c>
      <c r="O26" s="36" t="e">
        <f t="shared" si="13"/>
        <v>#VALUE!</v>
      </c>
      <c r="P26" s="36" t="str">
        <f t="shared" si="14"/>
        <v xml:space="preserve"> </v>
      </c>
      <c r="Q26" s="36" t="e">
        <f>IF(ISBLANK(comexem)=TRUE,ROUND($K26/optioncom*1000,2),ROUND(($K26+$L26)/optioncomex*1000,2))</f>
        <v>#VALUE!</v>
      </c>
      <c r="R26" s="36" t="e">
        <f>IF(ISBLANK(comexem)=TRUE,ROUND($L26/optionind*1000,2),ROUND(($K26+$L26)/optioncomex*1000,2))</f>
        <v>#VALUE!</v>
      </c>
      <c r="S26" s="37" t="e">
        <f t="shared" si="15"/>
        <v>#VALUE!</v>
      </c>
    </row>
    <row r="27" spans="1:19">
      <c r="A27" s="222">
        <v>1.02</v>
      </c>
      <c r="B27" s="205" t="e">
        <f t="shared" si="16"/>
        <v>#VALUE!</v>
      </c>
      <c r="C27" s="34" t="e">
        <f t="shared" si="1"/>
        <v>#VALUE!</v>
      </c>
      <c r="D27" s="35" t="e">
        <f t="shared" si="2"/>
        <v>#VALUE!</v>
      </c>
      <c r="E27" s="35" t="e">
        <f t="shared" si="3"/>
        <v>#VALUE!</v>
      </c>
      <c r="F27" s="35" t="e">
        <f t="shared" si="4"/>
        <v>#VALUE!</v>
      </c>
      <c r="G27" s="35" t="e">
        <f t="shared" si="5"/>
        <v>#VALUE!</v>
      </c>
      <c r="H27" s="33" t="e">
        <f t="shared" si="17"/>
        <v>#VALUE!</v>
      </c>
      <c r="I27" s="13" t="e">
        <f t="shared" si="18"/>
        <v>#VALUE!</v>
      </c>
      <c r="J27" s="14" t="e">
        <f t="shared" si="19"/>
        <v>#VALUE!</v>
      </c>
      <c r="K27" s="14" t="e">
        <f t="shared" si="20"/>
        <v>#VALUE!</v>
      </c>
      <c r="L27" s="14" t="e">
        <f t="shared" si="21"/>
        <v>#VALUE!</v>
      </c>
      <c r="M27" s="14" t="e">
        <f t="shared" si="22"/>
        <v>#VALUE!</v>
      </c>
      <c r="N27" s="15" t="e">
        <f t="shared" si="23"/>
        <v>#VALUE!</v>
      </c>
      <c r="O27" s="36" t="e">
        <f t="shared" si="13"/>
        <v>#VALUE!</v>
      </c>
      <c r="P27" s="36" t="str">
        <f t="shared" si="14"/>
        <v xml:space="preserve"> </v>
      </c>
      <c r="Q27" s="36" t="e">
        <f>IF(ISBLANK(comexem)=TRUE,ROUND($K27/optioncom*1000,2),ROUND(($K27+$L27)/optioncomex*1000,2))</f>
        <v>#VALUE!</v>
      </c>
      <c r="R27" s="36" t="e">
        <f>IF(ISBLANK(comexem)=TRUE,ROUND($L27/optionind*1000,2),ROUND(($K27+$L27)/optioncomex*1000,2))</f>
        <v>#VALUE!</v>
      </c>
      <c r="S27" s="37" t="e">
        <f t="shared" si="15"/>
        <v>#VALUE!</v>
      </c>
    </row>
    <row r="28" spans="1:19">
      <c r="A28" s="222">
        <v>1.0249999999999999</v>
      </c>
      <c r="B28" s="205" t="e">
        <f t="shared" si="16"/>
        <v>#VALUE!</v>
      </c>
      <c r="C28" s="34" t="e">
        <f t="shared" si="1"/>
        <v>#VALUE!</v>
      </c>
      <c r="D28" s="35" t="e">
        <f t="shared" si="2"/>
        <v>#VALUE!</v>
      </c>
      <c r="E28" s="35" t="e">
        <f t="shared" si="3"/>
        <v>#VALUE!</v>
      </c>
      <c r="F28" s="35" t="e">
        <f t="shared" si="4"/>
        <v>#VALUE!</v>
      </c>
      <c r="G28" s="35" t="e">
        <f t="shared" si="5"/>
        <v>#VALUE!</v>
      </c>
      <c r="H28" s="33" t="e">
        <f t="shared" si="17"/>
        <v>#VALUE!</v>
      </c>
      <c r="I28" s="13" t="e">
        <f t="shared" si="18"/>
        <v>#VALUE!</v>
      </c>
      <c r="J28" s="14" t="e">
        <f t="shared" si="19"/>
        <v>#VALUE!</v>
      </c>
      <c r="K28" s="14" t="e">
        <f t="shared" si="20"/>
        <v>#VALUE!</v>
      </c>
      <c r="L28" s="14" t="e">
        <f t="shared" si="21"/>
        <v>#VALUE!</v>
      </c>
      <c r="M28" s="14" t="e">
        <f t="shared" si="22"/>
        <v>#VALUE!</v>
      </c>
      <c r="N28" s="15" t="e">
        <f t="shared" si="23"/>
        <v>#VALUE!</v>
      </c>
      <c r="O28" s="36" t="e">
        <f t="shared" si="13"/>
        <v>#VALUE!</v>
      </c>
      <c r="P28" s="36" t="str">
        <f t="shared" si="14"/>
        <v xml:space="preserve"> </v>
      </c>
      <c r="Q28" s="36" t="e">
        <f>IF(ISBLANK(comexem)=TRUE,ROUND($K28/optioncom*1000,2),ROUND(($K28+$L28)/optioncomex*1000,2))</f>
        <v>#VALUE!</v>
      </c>
      <c r="R28" s="36" t="e">
        <f>IF(ISBLANK(comexem)=TRUE,ROUND($L28/optionind*1000,2),ROUND(($K28+$L28)/optioncomex*1000,2))</f>
        <v>#VALUE!</v>
      </c>
      <c r="S28" s="37" t="e">
        <f t="shared" si="15"/>
        <v>#VALUE!</v>
      </c>
    </row>
    <row r="29" spans="1:19">
      <c r="A29" s="222">
        <v>1.03</v>
      </c>
      <c r="B29" s="205" t="e">
        <f t="shared" si="16"/>
        <v>#VALUE!</v>
      </c>
      <c r="C29" s="34" t="e">
        <f t="shared" si="1"/>
        <v>#VALUE!</v>
      </c>
      <c r="D29" s="35" t="e">
        <f t="shared" si="2"/>
        <v>#VALUE!</v>
      </c>
      <c r="E29" s="35" t="e">
        <f t="shared" si="3"/>
        <v>#VALUE!</v>
      </c>
      <c r="F29" s="35" t="e">
        <f t="shared" si="4"/>
        <v>#VALUE!</v>
      </c>
      <c r="G29" s="35" t="e">
        <f t="shared" si="5"/>
        <v>#VALUE!</v>
      </c>
      <c r="H29" s="33" t="e">
        <f t="shared" si="17"/>
        <v>#VALUE!</v>
      </c>
      <c r="I29" s="13" t="e">
        <f t="shared" si="18"/>
        <v>#VALUE!</v>
      </c>
      <c r="J29" s="14" t="e">
        <f t="shared" si="19"/>
        <v>#VALUE!</v>
      </c>
      <c r="K29" s="14" t="e">
        <f t="shared" si="20"/>
        <v>#VALUE!</v>
      </c>
      <c r="L29" s="14" t="e">
        <f t="shared" si="21"/>
        <v>#VALUE!</v>
      </c>
      <c r="M29" s="14" t="e">
        <f t="shared" si="22"/>
        <v>#VALUE!</v>
      </c>
      <c r="N29" s="15" t="e">
        <f t="shared" si="23"/>
        <v>#VALUE!</v>
      </c>
      <c r="O29" s="36" t="e">
        <f t="shared" si="13"/>
        <v>#VALUE!</v>
      </c>
      <c r="P29" s="36" t="str">
        <f t="shared" si="14"/>
        <v xml:space="preserve"> </v>
      </c>
      <c r="Q29" s="36" t="e">
        <f>IF(ISBLANK(comexem)=TRUE,ROUND($K29/optioncom*1000,2),ROUND(($K29+$L29)/optioncomex*1000,2))</f>
        <v>#VALUE!</v>
      </c>
      <c r="R29" s="36" t="e">
        <f>IF(ISBLANK(comexem)=TRUE,ROUND($L29/optionind*1000,2),ROUND(($K29+$L29)/optioncomex*1000,2))</f>
        <v>#VALUE!</v>
      </c>
      <c r="S29" s="37" t="e">
        <f t="shared" si="15"/>
        <v>#VALUE!</v>
      </c>
    </row>
    <row r="30" spans="1:19">
      <c r="A30" s="222">
        <v>1.0349999999999999</v>
      </c>
      <c r="B30" s="205" t="e">
        <f t="shared" si="16"/>
        <v>#VALUE!</v>
      </c>
      <c r="C30" s="34" t="e">
        <f t="shared" si="1"/>
        <v>#VALUE!</v>
      </c>
      <c r="D30" s="35" t="e">
        <f t="shared" si="2"/>
        <v>#VALUE!</v>
      </c>
      <c r="E30" s="35" t="e">
        <f t="shared" si="3"/>
        <v>#VALUE!</v>
      </c>
      <c r="F30" s="35" t="e">
        <f t="shared" si="4"/>
        <v>#VALUE!</v>
      </c>
      <c r="G30" s="35" t="e">
        <f t="shared" si="5"/>
        <v>#VALUE!</v>
      </c>
      <c r="H30" s="33" t="e">
        <f t="shared" si="17"/>
        <v>#VALUE!</v>
      </c>
      <c r="I30" s="13" t="e">
        <f t="shared" si="18"/>
        <v>#VALUE!</v>
      </c>
      <c r="J30" s="14" t="e">
        <f t="shared" si="19"/>
        <v>#VALUE!</v>
      </c>
      <c r="K30" s="14" t="e">
        <f t="shared" si="20"/>
        <v>#VALUE!</v>
      </c>
      <c r="L30" s="14" t="e">
        <f t="shared" si="21"/>
        <v>#VALUE!</v>
      </c>
      <c r="M30" s="14" t="e">
        <f t="shared" si="22"/>
        <v>#VALUE!</v>
      </c>
      <c r="N30" s="15" t="e">
        <f t="shared" si="23"/>
        <v>#VALUE!</v>
      </c>
      <c r="O30" s="36" t="e">
        <f t="shared" si="13"/>
        <v>#VALUE!</v>
      </c>
      <c r="P30" s="36" t="str">
        <f t="shared" si="14"/>
        <v xml:space="preserve"> </v>
      </c>
      <c r="Q30" s="36" t="e">
        <f>IF(ISBLANK(comexem)=TRUE,ROUND($K30/optioncom*1000,2),ROUND(($K30+$L30)/optioncomex*1000,2))</f>
        <v>#VALUE!</v>
      </c>
      <c r="R30" s="36" t="e">
        <f>IF(ISBLANK(comexem)=TRUE,ROUND($L30/optionind*1000,2),ROUND(($K30+$L30)/optioncomex*1000,2))</f>
        <v>#VALUE!</v>
      </c>
      <c r="S30" s="37" t="e">
        <f t="shared" si="15"/>
        <v>#VALUE!</v>
      </c>
    </row>
    <row r="31" spans="1:19">
      <c r="A31" s="222">
        <v>1.04</v>
      </c>
      <c r="B31" s="205" t="e">
        <f t="shared" si="16"/>
        <v>#VALUE!</v>
      </c>
      <c r="C31" s="34" t="e">
        <f t="shared" si="1"/>
        <v>#VALUE!</v>
      </c>
      <c r="D31" s="35" t="e">
        <f t="shared" si="2"/>
        <v>#VALUE!</v>
      </c>
      <c r="E31" s="35" t="e">
        <f t="shared" si="3"/>
        <v>#VALUE!</v>
      </c>
      <c r="F31" s="35" t="e">
        <f t="shared" si="4"/>
        <v>#VALUE!</v>
      </c>
      <c r="G31" s="35" t="e">
        <f t="shared" si="5"/>
        <v>#VALUE!</v>
      </c>
      <c r="H31" s="33" t="e">
        <f t="shared" si="17"/>
        <v>#VALUE!</v>
      </c>
      <c r="I31" s="13" t="e">
        <f t="shared" si="18"/>
        <v>#VALUE!</v>
      </c>
      <c r="J31" s="14" t="e">
        <f t="shared" si="19"/>
        <v>#VALUE!</v>
      </c>
      <c r="K31" s="14" t="e">
        <f t="shared" si="20"/>
        <v>#VALUE!</v>
      </c>
      <c r="L31" s="14" t="e">
        <f t="shared" si="21"/>
        <v>#VALUE!</v>
      </c>
      <c r="M31" s="14" t="e">
        <f t="shared" si="22"/>
        <v>#VALUE!</v>
      </c>
      <c r="N31" s="15" t="e">
        <f t="shared" si="23"/>
        <v>#VALUE!</v>
      </c>
      <c r="O31" s="36" t="e">
        <f t="shared" si="13"/>
        <v>#VALUE!</v>
      </c>
      <c r="P31" s="36" t="str">
        <f t="shared" si="14"/>
        <v xml:space="preserve"> </v>
      </c>
      <c r="Q31" s="36" t="e">
        <f>IF(ISBLANK(comexem)=TRUE,ROUND($K31/optioncom*1000,2),ROUND(($K31+$L31)/optioncomex*1000,2))</f>
        <v>#VALUE!</v>
      </c>
      <c r="R31" s="36" t="e">
        <f>IF(ISBLANK(comexem)=TRUE,ROUND($L31/optionind*1000,2),ROUND(($K31+$L31)/optioncomex*1000,2))</f>
        <v>#VALUE!</v>
      </c>
      <c r="S31" s="37" t="e">
        <f t="shared" si="15"/>
        <v>#VALUE!</v>
      </c>
    </row>
    <row r="32" spans="1:19">
      <c r="A32" s="222">
        <v>1.0449999999999999</v>
      </c>
      <c r="B32" s="205" t="e">
        <f t="shared" si="16"/>
        <v>#VALUE!</v>
      </c>
      <c r="C32" s="34" t="e">
        <f t="shared" si="1"/>
        <v>#VALUE!</v>
      </c>
      <c r="D32" s="35" t="e">
        <f t="shared" si="2"/>
        <v>#VALUE!</v>
      </c>
      <c r="E32" s="35" t="e">
        <f t="shared" si="3"/>
        <v>#VALUE!</v>
      </c>
      <c r="F32" s="35" t="e">
        <f t="shared" si="4"/>
        <v>#VALUE!</v>
      </c>
      <c r="G32" s="35" t="e">
        <f t="shared" si="5"/>
        <v>#VALUE!</v>
      </c>
      <c r="H32" s="33" t="e">
        <f t="shared" si="17"/>
        <v>#VALUE!</v>
      </c>
      <c r="I32" s="13" t="e">
        <f t="shared" si="18"/>
        <v>#VALUE!</v>
      </c>
      <c r="J32" s="14" t="e">
        <f t="shared" si="19"/>
        <v>#VALUE!</v>
      </c>
      <c r="K32" s="14" t="e">
        <f t="shared" si="20"/>
        <v>#VALUE!</v>
      </c>
      <c r="L32" s="14" t="e">
        <f t="shared" si="21"/>
        <v>#VALUE!</v>
      </c>
      <c r="M32" s="14" t="e">
        <f t="shared" si="22"/>
        <v>#VALUE!</v>
      </c>
      <c r="N32" s="15" t="e">
        <f t="shared" si="23"/>
        <v>#VALUE!</v>
      </c>
      <c r="O32" s="36" t="e">
        <f t="shared" si="13"/>
        <v>#VALUE!</v>
      </c>
      <c r="P32" s="36" t="str">
        <f t="shared" si="14"/>
        <v xml:space="preserve"> </v>
      </c>
      <c r="Q32" s="36" t="e">
        <f>IF(ISBLANK(comexem)=TRUE,ROUND($K32/optioncom*1000,2),ROUND(($K32+$L32)/optioncomex*1000,2))</f>
        <v>#VALUE!</v>
      </c>
      <c r="R32" s="36" t="e">
        <f>IF(ISBLANK(comexem)=TRUE,ROUND($L32/optionind*1000,2),ROUND(($K32+$L32)/optioncomex*1000,2))</f>
        <v>#VALUE!</v>
      </c>
      <c r="S32" s="37" t="e">
        <f t="shared" si="15"/>
        <v>#VALUE!</v>
      </c>
    </row>
    <row r="33" spans="1:19">
      <c r="A33" s="222">
        <v>1.05</v>
      </c>
      <c r="B33" s="205" t="e">
        <f t="shared" si="16"/>
        <v>#VALUE!</v>
      </c>
      <c r="C33" s="34" t="e">
        <f t="shared" si="1"/>
        <v>#VALUE!</v>
      </c>
      <c r="D33" s="35" t="e">
        <f t="shared" si="2"/>
        <v>#VALUE!</v>
      </c>
      <c r="E33" s="35" t="e">
        <f t="shared" si="3"/>
        <v>#VALUE!</v>
      </c>
      <c r="F33" s="35" t="e">
        <f t="shared" si="4"/>
        <v>#VALUE!</v>
      </c>
      <c r="G33" s="35" t="e">
        <f t="shared" si="5"/>
        <v>#VALUE!</v>
      </c>
      <c r="H33" s="33" t="e">
        <f t="shared" si="17"/>
        <v>#VALUE!</v>
      </c>
      <c r="I33" s="13" t="e">
        <f t="shared" si="18"/>
        <v>#VALUE!</v>
      </c>
      <c r="J33" s="14" t="e">
        <f t="shared" si="19"/>
        <v>#VALUE!</v>
      </c>
      <c r="K33" s="14" t="e">
        <f t="shared" si="20"/>
        <v>#VALUE!</v>
      </c>
      <c r="L33" s="14" t="e">
        <f t="shared" si="21"/>
        <v>#VALUE!</v>
      </c>
      <c r="M33" s="14" t="e">
        <f t="shared" si="22"/>
        <v>#VALUE!</v>
      </c>
      <c r="N33" s="15" t="e">
        <f t="shared" si="23"/>
        <v>#VALUE!</v>
      </c>
      <c r="O33" s="36" t="e">
        <f t="shared" si="13"/>
        <v>#VALUE!</v>
      </c>
      <c r="P33" s="36" t="str">
        <f t="shared" si="14"/>
        <v xml:space="preserve"> </v>
      </c>
      <c r="Q33" s="36" t="e">
        <f>IF(ISBLANK(comexem)=TRUE,ROUND($K33/optioncom*1000,2),ROUND(($K33+$L33)/optioncomex*1000,2))</f>
        <v>#VALUE!</v>
      </c>
      <c r="R33" s="36" t="e">
        <f>IF(ISBLANK(comexem)=TRUE,ROUND($L33/optionind*1000,2),ROUND(($K33+$L33)/optioncomex*1000,2))</f>
        <v>#VALUE!</v>
      </c>
      <c r="S33" s="37" t="e">
        <f t="shared" si="15"/>
        <v>#VALUE!</v>
      </c>
    </row>
    <row r="34" spans="1:19">
      <c r="A34" s="222">
        <v>1.0549999999999999</v>
      </c>
      <c r="B34" s="205" t="e">
        <f t="shared" si="16"/>
        <v>#VALUE!</v>
      </c>
      <c r="C34" s="34" t="e">
        <f t="shared" si="1"/>
        <v>#VALUE!</v>
      </c>
      <c r="D34" s="35" t="e">
        <f t="shared" si="2"/>
        <v>#VALUE!</v>
      </c>
      <c r="E34" s="35" t="e">
        <f t="shared" si="3"/>
        <v>#VALUE!</v>
      </c>
      <c r="F34" s="35" t="e">
        <f t="shared" si="4"/>
        <v>#VALUE!</v>
      </c>
      <c r="G34" s="35" t="e">
        <f t="shared" si="5"/>
        <v>#VALUE!</v>
      </c>
      <c r="H34" s="33" t="e">
        <f t="shared" si="17"/>
        <v>#VALUE!</v>
      </c>
      <c r="I34" s="13" t="e">
        <f t="shared" si="18"/>
        <v>#VALUE!</v>
      </c>
      <c r="J34" s="14" t="e">
        <f t="shared" si="19"/>
        <v>#VALUE!</v>
      </c>
      <c r="K34" s="14" t="e">
        <f t="shared" si="20"/>
        <v>#VALUE!</v>
      </c>
      <c r="L34" s="14" t="e">
        <f t="shared" si="21"/>
        <v>#VALUE!</v>
      </c>
      <c r="M34" s="14" t="e">
        <f t="shared" si="22"/>
        <v>#VALUE!</v>
      </c>
      <c r="N34" s="15" t="e">
        <f t="shared" si="23"/>
        <v>#VALUE!</v>
      </c>
      <c r="O34" s="36" t="e">
        <f t="shared" si="13"/>
        <v>#VALUE!</v>
      </c>
      <c r="P34" s="36" t="str">
        <f t="shared" si="14"/>
        <v xml:space="preserve"> </v>
      </c>
      <c r="Q34" s="36" t="e">
        <f>IF(ISBLANK(comexem)=TRUE,ROUND($K34/optioncom*1000,2),ROUND(($K34+$L34)/optioncomex*1000,2))</f>
        <v>#VALUE!</v>
      </c>
      <c r="R34" s="36" t="e">
        <f>IF(ISBLANK(comexem)=TRUE,ROUND($L34/optionind*1000,2),ROUND(($K34+$L34)/optioncomex*1000,2))</f>
        <v>#VALUE!</v>
      </c>
      <c r="S34" s="37" t="e">
        <f t="shared" si="15"/>
        <v>#VALUE!</v>
      </c>
    </row>
    <row r="35" spans="1:19">
      <c r="A35" s="222">
        <v>1.06</v>
      </c>
      <c r="B35" s="205" t="e">
        <f t="shared" si="16"/>
        <v>#VALUE!</v>
      </c>
      <c r="C35" s="34" t="e">
        <f t="shared" si="1"/>
        <v>#VALUE!</v>
      </c>
      <c r="D35" s="35" t="e">
        <f t="shared" si="2"/>
        <v>#VALUE!</v>
      </c>
      <c r="E35" s="35" t="e">
        <f t="shared" si="3"/>
        <v>#VALUE!</v>
      </c>
      <c r="F35" s="35" t="e">
        <f t="shared" si="4"/>
        <v>#VALUE!</v>
      </c>
      <c r="G35" s="35" t="e">
        <f t="shared" si="5"/>
        <v>#VALUE!</v>
      </c>
      <c r="H35" s="33" t="e">
        <f t="shared" si="17"/>
        <v>#VALUE!</v>
      </c>
      <c r="I35" s="13" t="e">
        <f t="shared" si="18"/>
        <v>#VALUE!</v>
      </c>
      <c r="J35" s="14" t="e">
        <f t="shared" si="19"/>
        <v>#VALUE!</v>
      </c>
      <c r="K35" s="14" t="e">
        <f t="shared" si="20"/>
        <v>#VALUE!</v>
      </c>
      <c r="L35" s="14" t="e">
        <f t="shared" si="21"/>
        <v>#VALUE!</v>
      </c>
      <c r="M35" s="14" t="e">
        <f t="shared" si="22"/>
        <v>#VALUE!</v>
      </c>
      <c r="N35" s="15" t="e">
        <f t="shared" si="23"/>
        <v>#VALUE!</v>
      </c>
      <c r="O35" s="36" t="e">
        <f t="shared" si="13"/>
        <v>#VALUE!</v>
      </c>
      <c r="P35" s="36" t="str">
        <f t="shared" si="14"/>
        <v xml:space="preserve"> </v>
      </c>
      <c r="Q35" s="36" t="e">
        <f>IF(ISBLANK(comexem)=TRUE,ROUND($K35/optioncom*1000,2),ROUND(($K35+$L35)/optioncomex*1000,2))</f>
        <v>#VALUE!</v>
      </c>
      <c r="R35" s="36" t="e">
        <f>IF(ISBLANK(comexem)=TRUE,ROUND($L35/optionind*1000,2),ROUND(($K35+$L35)/optioncomex*1000,2))</f>
        <v>#VALUE!</v>
      </c>
      <c r="S35" s="37" t="e">
        <f t="shared" si="15"/>
        <v>#VALUE!</v>
      </c>
    </row>
    <row r="36" spans="1:19">
      <c r="A36" s="222">
        <v>1.0649999999999999</v>
      </c>
      <c r="B36" s="205" t="e">
        <f t="shared" si="16"/>
        <v>#VALUE!</v>
      </c>
      <c r="C36" s="34" t="e">
        <f t="shared" si="1"/>
        <v>#VALUE!</v>
      </c>
      <c r="D36" s="35" t="e">
        <f t="shared" si="2"/>
        <v>#VALUE!</v>
      </c>
      <c r="E36" s="35" t="e">
        <f t="shared" si="3"/>
        <v>#VALUE!</v>
      </c>
      <c r="F36" s="35" t="e">
        <f t="shared" si="4"/>
        <v>#VALUE!</v>
      </c>
      <c r="G36" s="35" t="e">
        <f t="shared" si="5"/>
        <v>#VALUE!</v>
      </c>
      <c r="H36" s="33" t="e">
        <f t="shared" si="17"/>
        <v>#VALUE!</v>
      </c>
      <c r="I36" s="13" t="e">
        <f t="shared" si="18"/>
        <v>#VALUE!</v>
      </c>
      <c r="J36" s="14" t="e">
        <f t="shared" si="19"/>
        <v>#VALUE!</v>
      </c>
      <c r="K36" s="14" t="e">
        <f t="shared" si="20"/>
        <v>#VALUE!</v>
      </c>
      <c r="L36" s="14" t="e">
        <f t="shared" si="21"/>
        <v>#VALUE!</v>
      </c>
      <c r="M36" s="14" t="e">
        <f t="shared" si="22"/>
        <v>#VALUE!</v>
      </c>
      <c r="N36" s="15" t="e">
        <f t="shared" si="23"/>
        <v>#VALUE!</v>
      </c>
      <c r="O36" s="36" t="e">
        <f t="shared" si="13"/>
        <v>#VALUE!</v>
      </c>
      <c r="P36" s="36" t="str">
        <f t="shared" si="14"/>
        <v xml:space="preserve"> </v>
      </c>
      <c r="Q36" s="36" t="e">
        <f>IF(ISBLANK(comexem)=TRUE,ROUND($K36/optioncom*1000,2),ROUND(($K36+$L36)/optioncomex*1000,2))</f>
        <v>#VALUE!</v>
      </c>
      <c r="R36" s="36" t="e">
        <f>IF(ISBLANK(comexem)=TRUE,ROUND($L36/optionind*1000,2),ROUND(($K36+$L36)/optioncomex*1000,2))</f>
        <v>#VALUE!</v>
      </c>
      <c r="S36" s="37" t="e">
        <f t="shared" si="15"/>
        <v>#VALUE!</v>
      </c>
    </row>
    <row r="37" spans="1:19">
      <c r="A37" s="222">
        <v>1.07</v>
      </c>
      <c r="B37" s="205" t="e">
        <f t="shared" si="16"/>
        <v>#VALUE!</v>
      </c>
      <c r="C37" s="34" t="e">
        <f t="shared" si="1"/>
        <v>#VALUE!</v>
      </c>
      <c r="D37" s="35" t="e">
        <f t="shared" si="2"/>
        <v>#VALUE!</v>
      </c>
      <c r="E37" s="35" t="e">
        <f t="shared" si="3"/>
        <v>#VALUE!</v>
      </c>
      <c r="F37" s="35" t="e">
        <f t="shared" si="4"/>
        <v>#VALUE!</v>
      </c>
      <c r="G37" s="35" t="e">
        <f t="shared" si="5"/>
        <v>#VALUE!</v>
      </c>
      <c r="H37" s="33" t="e">
        <f t="shared" si="17"/>
        <v>#VALUE!</v>
      </c>
      <c r="I37" s="13" t="e">
        <f t="shared" si="18"/>
        <v>#VALUE!</v>
      </c>
      <c r="J37" s="14" t="e">
        <f t="shared" si="19"/>
        <v>#VALUE!</v>
      </c>
      <c r="K37" s="14" t="e">
        <f t="shared" si="20"/>
        <v>#VALUE!</v>
      </c>
      <c r="L37" s="14" t="e">
        <f t="shared" si="21"/>
        <v>#VALUE!</v>
      </c>
      <c r="M37" s="14" t="e">
        <f t="shared" si="22"/>
        <v>#VALUE!</v>
      </c>
      <c r="N37" s="15" t="e">
        <f t="shared" si="23"/>
        <v>#VALUE!</v>
      </c>
      <c r="O37" s="36" t="e">
        <f t="shared" si="13"/>
        <v>#VALUE!</v>
      </c>
      <c r="P37" s="36" t="str">
        <f t="shared" si="14"/>
        <v xml:space="preserve"> </v>
      </c>
      <c r="Q37" s="36" t="e">
        <f>IF(ISBLANK(comexem)=TRUE,ROUND($K37/optioncom*1000,2),ROUND(($K37+$L37)/optioncomex*1000,2))</f>
        <v>#VALUE!</v>
      </c>
      <c r="R37" s="36" t="e">
        <f>IF(ISBLANK(comexem)=TRUE,ROUND($L37/optionind*1000,2),ROUND(($K37+$L37)/optioncomex*1000,2))</f>
        <v>#VALUE!</v>
      </c>
      <c r="S37" s="37" t="e">
        <f t="shared" si="15"/>
        <v>#VALUE!</v>
      </c>
    </row>
    <row r="38" spans="1:19">
      <c r="A38" s="222">
        <v>1.075</v>
      </c>
      <c r="B38" s="205" t="e">
        <f t="shared" si="16"/>
        <v>#VALUE!</v>
      </c>
      <c r="C38" s="34" t="e">
        <f t="shared" si="1"/>
        <v>#VALUE!</v>
      </c>
      <c r="D38" s="35" t="e">
        <f t="shared" si="2"/>
        <v>#VALUE!</v>
      </c>
      <c r="E38" s="35" t="e">
        <f t="shared" si="3"/>
        <v>#VALUE!</v>
      </c>
      <c r="F38" s="35" t="e">
        <f t="shared" si="4"/>
        <v>#VALUE!</v>
      </c>
      <c r="G38" s="35" t="e">
        <f t="shared" si="5"/>
        <v>#VALUE!</v>
      </c>
      <c r="H38" s="33" t="e">
        <f t="shared" si="17"/>
        <v>#VALUE!</v>
      </c>
      <c r="I38" s="13" t="e">
        <f t="shared" si="18"/>
        <v>#VALUE!</v>
      </c>
      <c r="J38" s="14" t="e">
        <f t="shared" si="19"/>
        <v>#VALUE!</v>
      </c>
      <c r="K38" s="14" t="e">
        <f t="shared" si="20"/>
        <v>#VALUE!</v>
      </c>
      <c r="L38" s="14" t="e">
        <f t="shared" si="21"/>
        <v>#VALUE!</v>
      </c>
      <c r="M38" s="14" t="e">
        <f t="shared" si="22"/>
        <v>#VALUE!</v>
      </c>
      <c r="N38" s="15" t="e">
        <f t="shared" si="23"/>
        <v>#VALUE!</v>
      </c>
      <c r="O38" s="36" t="e">
        <f t="shared" si="13"/>
        <v>#VALUE!</v>
      </c>
      <c r="P38" s="36" t="str">
        <f t="shared" si="14"/>
        <v xml:space="preserve"> </v>
      </c>
      <c r="Q38" s="36" t="e">
        <f>IF(ISBLANK(comexem)=TRUE,ROUND($K38/optioncom*1000,2),ROUND(($K38+$L38)/optioncomex*1000,2))</f>
        <v>#VALUE!</v>
      </c>
      <c r="R38" s="36" t="e">
        <f>IF(ISBLANK(comexem)=TRUE,ROUND($L38/optionind*1000,2),ROUND(($K38+$L38)/optioncomex*1000,2))</f>
        <v>#VALUE!</v>
      </c>
      <c r="S38" s="37" t="e">
        <f t="shared" si="15"/>
        <v>#VALUE!</v>
      </c>
    </row>
    <row r="39" spans="1:19">
      <c r="A39" s="222">
        <v>1.08</v>
      </c>
      <c r="B39" s="205" t="e">
        <f t="shared" si="16"/>
        <v>#VALUE!</v>
      </c>
      <c r="C39" s="34" t="e">
        <f t="shared" si="1"/>
        <v>#VALUE!</v>
      </c>
      <c r="D39" s="35" t="e">
        <f t="shared" si="2"/>
        <v>#VALUE!</v>
      </c>
      <c r="E39" s="35" t="e">
        <f t="shared" si="3"/>
        <v>#VALUE!</v>
      </c>
      <c r="F39" s="35" t="e">
        <f t="shared" si="4"/>
        <v>#VALUE!</v>
      </c>
      <c r="G39" s="35" t="e">
        <f t="shared" si="5"/>
        <v>#VALUE!</v>
      </c>
      <c r="H39" s="33" t="e">
        <f t="shared" si="17"/>
        <v>#VALUE!</v>
      </c>
      <c r="I39" s="13" t="e">
        <f t="shared" si="18"/>
        <v>#VALUE!</v>
      </c>
      <c r="J39" s="14" t="e">
        <f t="shared" si="19"/>
        <v>#VALUE!</v>
      </c>
      <c r="K39" s="14" t="e">
        <f t="shared" si="20"/>
        <v>#VALUE!</v>
      </c>
      <c r="L39" s="14" t="e">
        <f t="shared" si="21"/>
        <v>#VALUE!</v>
      </c>
      <c r="M39" s="14" t="e">
        <f t="shared" si="22"/>
        <v>#VALUE!</v>
      </c>
      <c r="N39" s="15" t="e">
        <f t="shared" si="23"/>
        <v>#VALUE!</v>
      </c>
      <c r="O39" s="36" t="e">
        <f t="shared" si="13"/>
        <v>#VALUE!</v>
      </c>
      <c r="P39" s="36" t="str">
        <f t="shared" si="14"/>
        <v xml:space="preserve"> </v>
      </c>
      <c r="Q39" s="36" t="e">
        <f>IF(ISBLANK(comexem)=TRUE,ROUND($K39/optioncom*1000,2),ROUND(($K39+$L39)/optioncomex*1000,2))</f>
        <v>#VALUE!</v>
      </c>
      <c r="R39" s="36" t="e">
        <f>IF(ISBLANK(comexem)=TRUE,ROUND($L39/optionind*1000,2),ROUND(($K39+$L39)/optioncomex*1000,2))</f>
        <v>#VALUE!</v>
      </c>
      <c r="S39" s="37" t="e">
        <f t="shared" si="15"/>
        <v>#VALUE!</v>
      </c>
    </row>
    <row r="40" spans="1:19">
      <c r="A40" s="222">
        <v>1.085</v>
      </c>
      <c r="B40" s="205" t="e">
        <f t="shared" si="16"/>
        <v>#VALUE!</v>
      </c>
      <c r="C40" s="34" t="e">
        <f t="shared" si="1"/>
        <v>#VALUE!</v>
      </c>
      <c r="D40" s="35" t="e">
        <f t="shared" si="2"/>
        <v>#VALUE!</v>
      </c>
      <c r="E40" s="35" t="e">
        <f t="shared" si="3"/>
        <v>#VALUE!</v>
      </c>
      <c r="F40" s="35" t="e">
        <f t="shared" si="4"/>
        <v>#VALUE!</v>
      </c>
      <c r="G40" s="35" t="e">
        <f t="shared" si="5"/>
        <v>#VALUE!</v>
      </c>
      <c r="H40" s="33" t="e">
        <f t="shared" si="17"/>
        <v>#VALUE!</v>
      </c>
      <c r="I40" s="13" t="e">
        <f t="shared" si="18"/>
        <v>#VALUE!</v>
      </c>
      <c r="J40" s="14" t="e">
        <f t="shared" si="19"/>
        <v>#VALUE!</v>
      </c>
      <c r="K40" s="14" t="e">
        <f t="shared" si="20"/>
        <v>#VALUE!</v>
      </c>
      <c r="L40" s="14" t="e">
        <f t="shared" si="21"/>
        <v>#VALUE!</v>
      </c>
      <c r="M40" s="14" t="e">
        <f t="shared" si="22"/>
        <v>#VALUE!</v>
      </c>
      <c r="N40" s="15" t="e">
        <f t="shared" si="23"/>
        <v>#VALUE!</v>
      </c>
      <c r="O40" s="36" t="e">
        <f t="shared" si="13"/>
        <v>#VALUE!</v>
      </c>
      <c r="P40" s="36" t="str">
        <f t="shared" si="14"/>
        <v xml:space="preserve"> </v>
      </c>
      <c r="Q40" s="36" t="e">
        <f>IF(ISBLANK(comexem)=TRUE,ROUND($K40/optioncom*1000,2),ROUND(($K40+$L40)/optioncomex*1000,2))</f>
        <v>#VALUE!</v>
      </c>
      <c r="R40" s="36" t="e">
        <f>IF(ISBLANK(comexem)=TRUE,ROUND($L40/optionind*1000,2),ROUND(($K40+$L40)/optioncomex*1000,2))</f>
        <v>#VALUE!</v>
      </c>
      <c r="S40" s="37" t="e">
        <f t="shared" si="15"/>
        <v>#VALUE!</v>
      </c>
    </row>
    <row r="41" spans="1:19">
      <c r="A41" s="222">
        <v>1.0900000000000001</v>
      </c>
      <c r="B41" s="205" t="e">
        <f t="shared" si="16"/>
        <v>#VALUE!</v>
      </c>
      <c r="C41" s="34" t="e">
        <f t="shared" si="1"/>
        <v>#VALUE!</v>
      </c>
      <c r="D41" s="35" t="e">
        <f t="shared" si="2"/>
        <v>#VALUE!</v>
      </c>
      <c r="E41" s="35" t="e">
        <f t="shared" si="3"/>
        <v>#VALUE!</v>
      </c>
      <c r="F41" s="35" t="e">
        <f t="shared" si="4"/>
        <v>#VALUE!</v>
      </c>
      <c r="G41" s="35" t="e">
        <f t="shared" si="5"/>
        <v>#VALUE!</v>
      </c>
      <c r="H41" s="33" t="e">
        <f t="shared" si="17"/>
        <v>#VALUE!</v>
      </c>
      <c r="I41" s="13" t="e">
        <f t="shared" si="18"/>
        <v>#VALUE!</v>
      </c>
      <c r="J41" s="14" t="e">
        <f t="shared" si="19"/>
        <v>#VALUE!</v>
      </c>
      <c r="K41" s="14" t="e">
        <f t="shared" si="20"/>
        <v>#VALUE!</v>
      </c>
      <c r="L41" s="14" t="e">
        <f t="shared" si="21"/>
        <v>#VALUE!</v>
      </c>
      <c r="M41" s="14" t="e">
        <f t="shared" si="22"/>
        <v>#VALUE!</v>
      </c>
      <c r="N41" s="15" t="e">
        <f t="shared" si="23"/>
        <v>#VALUE!</v>
      </c>
      <c r="O41" s="36" t="e">
        <f t="shared" si="13"/>
        <v>#VALUE!</v>
      </c>
      <c r="P41" s="36" t="str">
        <f t="shared" si="14"/>
        <v xml:space="preserve"> </v>
      </c>
      <c r="Q41" s="36" t="e">
        <f>IF(ISBLANK(comexem)=TRUE,ROUND($K41/optioncom*1000,2),ROUND(($K41+$L41)/optioncomex*1000,2))</f>
        <v>#VALUE!</v>
      </c>
      <c r="R41" s="36" t="e">
        <f>IF(ISBLANK(comexem)=TRUE,ROUND($L41/optionind*1000,2),ROUND(($K41+$L41)/optioncomex*1000,2))</f>
        <v>#VALUE!</v>
      </c>
      <c r="S41" s="37" t="e">
        <f t="shared" si="15"/>
        <v>#VALUE!</v>
      </c>
    </row>
    <row r="42" spans="1:19">
      <c r="A42" s="222">
        <v>1.095</v>
      </c>
      <c r="B42" s="205" t="e">
        <f t="shared" si="16"/>
        <v>#VALUE!</v>
      </c>
      <c r="C42" s="34" t="e">
        <f t="shared" si="1"/>
        <v>#VALUE!</v>
      </c>
      <c r="D42" s="35" t="e">
        <f t="shared" si="2"/>
        <v>#VALUE!</v>
      </c>
      <c r="E42" s="35" t="e">
        <f t="shared" si="3"/>
        <v>#VALUE!</v>
      </c>
      <c r="F42" s="35" t="e">
        <f t="shared" si="4"/>
        <v>#VALUE!</v>
      </c>
      <c r="G42" s="35" t="e">
        <f t="shared" si="5"/>
        <v>#VALUE!</v>
      </c>
      <c r="H42" s="33" t="e">
        <f t="shared" si="17"/>
        <v>#VALUE!</v>
      </c>
      <c r="I42" s="13" t="e">
        <f t="shared" si="18"/>
        <v>#VALUE!</v>
      </c>
      <c r="J42" s="14" t="e">
        <f t="shared" si="19"/>
        <v>#VALUE!</v>
      </c>
      <c r="K42" s="14" t="e">
        <f t="shared" si="20"/>
        <v>#VALUE!</v>
      </c>
      <c r="L42" s="14" t="e">
        <f t="shared" si="21"/>
        <v>#VALUE!</v>
      </c>
      <c r="M42" s="14" t="e">
        <f t="shared" si="22"/>
        <v>#VALUE!</v>
      </c>
      <c r="N42" s="15" t="e">
        <f t="shared" si="23"/>
        <v>#VALUE!</v>
      </c>
      <c r="O42" s="36" t="e">
        <f t="shared" si="13"/>
        <v>#VALUE!</v>
      </c>
      <c r="P42" s="36" t="str">
        <f t="shared" si="14"/>
        <v xml:space="preserve"> </v>
      </c>
      <c r="Q42" s="36" t="e">
        <f>IF(ISBLANK(comexem)=TRUE,ROUND($K42/optioncom*1000,2),ROUND(($K42+$L42)/optioncomex*1000,2))</f>
        <v>#VALUE!</v>
      </c>
      <c r="R42" s="36" t="e">
        <f>IF(ISBLANK(comexem)=TRUE,ROUND($L42/optionind*1000,2),ROUND(($K42+$L42)/optioncomex*1000,2))</f>
        <v>#VALUE!</v>
      </c>
      <c r="S42" s="37" t="e">
        <f t="shared" si="15"/>
        <v>#VALUE!</v>
      </c>
    </row>
    <row r="43" spans="1:19">
      <c r="A43" s="222">
        <v>1.1000000000000001</v>
      </c>
      <c r="B43" s="205" t="e">
        <f t="shared" si="16"/>
        <v>#VALUE!</v>
      </c>
      <c r="C43" s="34" t="e">
        <f t="shared" si="1"/>
        <v>#VALUE!</v>
      </c>
      <c r="D43" s="35" t="e">
        <f t="shared" si="2"/>
        <v>#VALUE!</v>
      </c>
      <c r="E43" s="35" t="e">
        <f t="shared" si="3"/>
        <v>#VALUE!</v>
      </c>
      <c r="F43" s="35" t="e">
        <f t="shared" si="4"/>
        <v>#VALUE!</v>
      </c>
      <c r="G43" s="35" t="e">
        <f t="shared" si="5"/>
        <v>#VALUE!</v>
      </c>
      <c r="H43" s="33" t="e">
        <f t="shared" si="17"/>
        <v>#VALUE!</v>
      </c>
      <c r="I43" s="13" t="e">
        <f t="shared" si="18"/>
        <v>#VALUE!</v>
      </c>
      <c r="J43" s="14" t="e">
        <f t="shared" si="19"/>
        <v>#VALUE!</v>
      </c>
      <c r="K43" s="14" t="e">
        <f t="shared" si="20"/>
        <v>#VALUE!</v>
      </c>
      <c r="L43" s="14" t="e">
        <f t="shared" si="21"/>
        <v>#VALUE!</v>
      </c>
      <c r="M43" s="14" t="e">
        <f t="shared" si="22"/>
        <v>#VALUE!</v>
      </c>
      <c r="N43" s="15" t="e">
        <f t="shared" si="23"/>
        <v>#VALUE!</v>
      </c>
      <c r="O43" s="36" t="e">
        <f t="shared" si="13"/>
        <v>#VALUE!</v>
      </c>
      <c r="P43" s="36" t="str">
        <f t="shared" si="14"/>
        <v xml:space="preserve"> </v>
      </c>
      <c r="Q43" s="36" t="e">
        <f>IF(ISBLANK(comexem)=TRUE,ROUND($K43/optioncom*1000,2),ROUND(($K43+$L43)/optioncomex*1000,2))</f>
        <v>#VALUE!</v>
      </c>
      <c r="R43" s="36" t="e">
        <f>IF(ISBLANK(comexem)=TRUE,ROUND($L43/optionind*1000,2),ROUND(($K43+$L43)/optioncomex*1000,2))</f>
        <v>#VALUE!</v>
      </c>
      <c r="S43" s="37" t="e">
        <f t="shared" si="15"/>
        <v>#VALUE!</v>
      </c>
    </row>
    <row r="44" spans="1:19">
      <c r="A44" s="222">
        <v>1.105</v>
      </c>
      <c r="B44" s="205" t="e">
        <f t="shared" si="16"/>
        <v>#VALUE!</v>
      </c>
      <c r="C44" s="34" t="e">
        <f t="shared" si="1"/>
        <v>#VALUE!</v>
      </c>
      <c r="D44" s="35" t="e">
        <f t="shared" si="2"/>
        <v>#VALUE!</v>
      </c>
      <c r="E44" s="35" t="e">
        <f t="shared" si="3"/>
        <v>#VALUE!</v>
      </c>
      <c r="F44" s="35" t="e">
        <f t="shared" si="4"/>
        <v>#VALUE!</v>
      </c>
      <c r="G44" s="35" t="e">
        <f t="shared" si="5"/>
        <v>#VALUE!</v>
      </c>
      <c r="H44" s="33" t="e">
        <f t="shared" si="17"/>
        <v>#VALUE!</v>
      </c>
      <c r="I44" s="13" t="e">
        <f t="shared" si="18"/>
        <v>#VALUE!</v>
      </c>
      <c r="J44" s="14" t="e">
        <f t="shared" si="19"/>
        <v>#VALUE!</v>
      </c>
      <c r="K44" s="14" t="e">
        <f t="shared" si="20"/>
        <v>#VALUE!</v>
      </c>
      <c r="L44" s="14" t="e">
        <f t="shared" si="21"/>
        <v>#VALUE!</v>
      </c>
      <c r="M44" s="14" t="e">
        <f t="shared" si="22"/>
        <v>#VALUE!</v>
      </c>
      <c r="N44" s="15" t="e">
        <f t="shared" si="23"/>
        <v>#VALUE!</v>
      </c>
      <c r="O44" s="36" t="e">
        <f t="shared" si="13"/>
        <v>#VALUE!</v>
      </c>
      <c r="P44" s="36" t="str">
        <f t="shared" si="14"/>
        <v xml:space="preserve"> </v>
      </c>
      <c r="Q44" s="36" t="e">
        <f>IF(ISBLANK(comexem)=TRUE,ROUND($K44/optioncom*1000,2),ROUND(($K44+$L44)/optioncomex*1000,2))</f>
        <v>#VALUE!</v>
      </c>
      <c r="R44" s="36" t="e">
        <f>IF(ISBLANK(comexem)=TRUE,ROUND($L44/optionind*1000,2),ROUND(($K44+$L44)/optioncomex*1000,2))</f>
        <v>#VALUE!</v>
      </c>
      <c r="S44" s="37" t="e">
        <f t="shared" si="15"/>
        <v>#VALUE!</v>
      </c>
    </row>
    <row r="45" spans="1:19">
      <c r="A45" s="222">
        <v>1.1100000000000001</v>
      </c>
      <c r="B45" s="205" t="e">
        <f t="shared" si="16"/>
        <v>#VALUE!</v>
      </c>
      <c r="C45" s="34" t="e">
        <f t="shared" si="1"/>
        <v>#VALUE!</v>
      </c>
      <c r="D45" s="35" t="e">
        <f t="shared" si="2"/>
        <v>#VALUE!</v>
      </c>
      <c r="E45" s="35" t="e">
        <f t="shared" si="3"/>
        <v>#VALUE!</v>
      </c>
      <c r="F45" s="35" t="e">
        <f t="shared" si="4"/>
        <v>#VALUE!</v>
      </c>
      <c r="G45" s="35" t="e">
        <f t="shared" si="5"/>
        <v>#VALUE!</v>
      </c>
      <c r="H45" s="33" t="e">
        <f t="shared" si="17"/>
        <v>#VALUE!</v>
      </c>
      <c r="I45" s="13" t="e">
        <f t="shared" si="18"/>
        <v>#VALUE!</v>
      </c>
      <c r="J45" s="14" t="e">
        <f t="shared" si="19"/>
        <v>#VALUE!</v>
      </c>
      <c r="K45" s="14" t="e">
        <f t="shared" si="20"/>
        <v>#VALUE!</v>
      </c>
      <c r="L45" s="14" t="e">
        <f t="shared" si="21"/>
        <v>#VALUE!</v>
      </c>
      <c r="M45" s="14" t="e">
        <f t="shared" si="22"/>
        <v>#VALUE!</v>
      </c>
      <c r="N45" s="15" t="e">
        <f t="shared" si="23"/>
        <v>#VALUE!</v>
      </c>
      <c r="O45" s="36" t="e">
        <f t="shared" si="13"/>
        <v>#VALUE!</v>
      </c>
      <c r="P45" s="36" t="str">
        <f t="shared" si="14"/>
        <v xml:space="preserve"> </v>
      </c>
      <c r="Q45" s="36" t="e">
        <f>IF(ISBLANK(comexem)=TRUE,ROUND($K45/optioncom*1000,2),ROUND(($K45+$L45)/optioncomex*1000,2))</f>
        <v>#VALUE!</v>
      </c>
      <c r="R45" s="36" t="e">
        <f>IF(ISBLANK(comexem)=TRUE,ROUND($L45/optionind*1000,2),ROUND(($K45+$L45)/optioncomex*1000,2))</f>
        <v>#VALUE!</v>
      </c>
      <c r="S45" s="37" t="e">
        <f t="shared" si="15"/>
        <v>#VALUE!</v>
      </c>
    </row>
    <row r="46" spans="1:19">
      <c r="A46" s="222">
        <v>1.115</v>
      </c>
      <c r="B46" s="205" t="e">
        <f t="shared" si="16"/>
        <v>#VALUE!</v>
      </c>
      <c r="C46" s="34" t="e">
        <f t="shared" si="1"/>
        <v>#VALUE!</v>
      </c>
      <c r="D46" s="35" t="e">
        <f t="shared" si="2"/>
        <v>#VALUE!</v>
      </c>
      <c r="E46" s="35" t="e">
        <f t="shared" si="3"/>
        <v>#VALUE!</v>
      </c>
      <c r="F46" s="35" t="e">
        <f t="shared" si="4"/>
        <v>#VALUE!</v>
      </c>
      <c r="G46" s="35" t="e">
        <f t="shared" si="5"/>
        <v>#VALUE!</v>
      </c>
      <c r="H46" s="33" t="e">
        <f t="shared" si="17"/>
        <v>#VALUE!</v>
      </c>
      <c r="I46" s="13" t="e">
        <f t="shared" si="18"/>
        <v>#VALUE!</v>
      </c>
      <c r="J46" s="14" t="e">
        <f t="shared" si="19"/>
        <v>#VALUE!</v>
      </c>
      <c r="K46" s="14" t="e">
        <f t="shared" si="20"/>
        <v>#VALUE!</v>
      </c>
      <c r="L46" s="14" t="e">
        <f t="shared" si="21"/>
        <v>#VALUE!</v>
      </c>
      <c r="M46" s="14" t="e">
        <f t="shared" si="22"/>
        <v>#VALUE!</v>
      </c>
      <c r="N46" s="15" t="e">
        <f t="shared" si="23"/>
        <v>#VALUE!</v>
      </c>
      <c r="O46" s="36" t="e">
        <f t="shared" si="13"/>
        <v>#VALUE!</v>
      </c>
      <c r="P46" s="36" t="str">
        <f t="shared" si="14"/>
        <v xml:space="preserve"> </v>
      </c>
      <c r="Q46" s="36" t="e">
        <f>IF(ISBLANK(comexem)=TRUE,ROUND($K46/optioncom*1000,2),ROUND(($K46+$L46)/optioncomex*1000,2))</f>
        <v>#VALUE!</v>
      </c>
      <c r="R46" s="36" t="e">
        <f>IF(ISBLANK(comexem)=TRUE,ROUND($L46/optionind*1000,2),ROUND(($K46+$L46)/optioncomex*1000,2))</f>
        <v>#VALUE!</v>
      </c>
      <c r="S46" s="37" t="e">
        <f t="shared" si="15"/>
        <v>#VALUE!</v>
      </c>
    </row>
    <row r="47" spans="1:19">
      <c r="A47" s="222">
        <v>1.1200000000000001</v>
      </c>
      <c r="B47" s="205" t="e">
        <f t="shared" si="16"/>
        <v>#VALUE!</v>
      </c>
      <c r="C47" s="34" t="e">
        <f t="shared" si="1"/>
        <v>#VALUE!</v>
      </c>
      <c r="D47" s="35" t="e">
        <f t="shared" si="2"/>
        <v>#VALUE!</v>
      </c>
      <c r="E47" s="35" t="e">
        <f t="shared" si="3"/>
        <v>#VALUE!</v>
      </c>
      <c r="F47" s="35" t="e">
        <f t="shared" si="4"/>
        <v>#VALUE!</v>
      </c>
      <c r="G47" s="35" t="e">
        <f t="shared" si="5"/>
        <v>#VALUE!</v>
      </c>
      <c r="H47" s="33" t="e">
        <f t="shared" si="17"/>
        <v>#VALUE!</v>
      </c>
      <c r="I47" s="13" t="e">
        <f t="shared" si="18"/>
        <v>#VALUE!</v>
      </c>
      <c r="J47" s="14" t="e">
        <f t="shared" si="19"/>
        <v>#VALUE!</v>
      </c>
      <c r="K47" s="14" t="e">
        <f t="shared" si="20"/>
        <v>#VALUE!</v>
      </c>
      <c r="L47" s="14" t="e">
        <f t="shared" si="21"/>
        <v>#VALUE!</v>
      </c>
      <c r="M47" s="14" t="e">
        <f t="shared" si="22"/>
        <v>#VALUE!</v>
      </c>
      <c r="N47" s="15" t="e">
        <f t="shared" si="23"/>
        <v>#VALUE!</v>
      </c>
      <c r="O47" s="36" t="e">
        <f t="shared" si="13"/>
        <v>#VALUE!</v>
      </c>
      <c r="P47" s="36" t="str">
        <f t="shared" si="14"/>
        <v xml:space="preserve"> </v>
      </c>
      <c r="Q47" s="36" t="e">
        <f>IF(ISBLANK(comexem)=TRUE,ROUND($K47/optioncom*1000,2),ROUND(($K47+$L47)/optioncomex*1000,2))</f>
        <v>#VALUE!</v>
      </c>
      <c r="R47" s="36" t="e">
        <f>IF(ISBLANK(comexem)=TRUE,ROUND($L47/optionind*1000,2),ROUND(($K47+$L47)/optioncomex*1000,2))</f>
        <v>#VALUE!</v>
      </c>
      <c r="S47" s="37" t="e">
        <f t="shared" si="15"/>
        <v>#VALUE!</v>
      </c>
    </row>
    <row r="48" spans="1:19">
      <c r="A48" s="222">
        <v>1.125</v>
      </c>
      <c r="B48" s="205" t="e">
        <f t="shared" si="16"/>
        <v>#VALUE!</v>
      </c>
      <c r="C48" s="34" t="e">
        <f t="shared" si="1"/>
        <v>#VALUE!</v>
      </c>
      <c r="D48" s="35" t="e">
        <f t="shared" si="2"/>
        <v>#VALUE!</v>
      </c>
      <c r="E48" s="35" t="e">
        <f t="shared" si="3"/>
        <v>#VALUE!</v>
      </c>
      <c r="F48" s="35" t="e">
        <f t="shared" si="4"/>
        <v>#VALUE!</v>
      </c>
      <c r="G48" s="35" t="e">
        <f t="shared" si="5"/>
        <v>#VALUE!</v>
      </c>
      <c r="H48" s="33" t="e">
        <f t="shared" si="17"/>
        <v>#VALUE!</v>
      </c>
      <c r="I48" s="13" t="e">
        <f t="shared" si="18"/>
        <v>#VALUE!</v>
      </c>
      <c r="J48" s="14" t="e">
        <f t="shared" si="19"/>
        <v>#VALUE!</v>
      </c>
      <c r="K48" s="14" t="e">
        <f t="shared" si="20"/>
        <v>#VALUE!</v>
      </c>
      <c r="L48" s="14" t="e">
        <f t="shared" si="21"/>
        <v>#VALUE!</v>
      </c>
      <c r="M48" s="14" t="e">
        <f t="shared" si="22"/>
        <v>#VALUE!</v>
      </c>
      <c r="N48" s="15" t="e">
        <f t="shared" si="23"/>
        <v>#VALUE!</v>
      </c>
      <c r="O48" s="36" t="e">
        <f t="shared" si="13"/>
        <v>#VALUE!</v>
      </c>
      <c r="P48" s="36" t="str">
        <f t="shared" si="14"/>
        <v xml:space="preserve"> </v>
      </c>
      <c r="Q48" s="36" t="e">
        <f>IF(ISBLANK(comexem)=TRUE,ROUND($K48/optioncom*1000,2),ROUND(($K48+$L48)/optioncomex*1000,2))</f>
        <v>#VALUE!</v>
      </c>
      <c r="R48" s="36" t="e">
        <f>IF(ISBLANK(comexem)=TRUE,ROUND($L48/optionind*1000,2),ROUND(($K48+$L48)/optioncomex*1000,2))</f>
        <v>#VALUE!</v>
      </c>
      <c r="S48" s="37" t="e">
        <f t="shared" si="15"/>
        <v>#VALUE!</v>
      </c>
    </row>
    <row r="49" spans="1:19">
      <c r="A49" s="222">
        <v>1.1299999999999999</v>
      </c>
      <c r="B49" s="205" t="e">
        <f t="shared" si="16"/>
        <v>#VALUE!</v>
      </c>
      <c r="C49" s="34" t="e">
        <f t="shared" si="1"/>
        <v>#VALUE!</v>
      </c>
      <c r="D49" s="35" t="e">
        <f t="shared" si="2"/>
        <v>#VALUE!</v>
      </c>
      <c r="E49" s="35" t="e">
        <f t="shared" si="3"/>
        <v>#VALUE!</v>
      </c>
      <c r="F49" s="35" t="e">
        <f t="shared" si="4"/>
        <v>#VALUE!</v>
      </c>
      <c r="G49" s="35" t="e">
        <f t="shared" si="5"/>
        <v>#VALUE!</v>
      </c>
      <c r="H49" s="33" t="e">
        <f t="shared" si="17"/>
        <v>#VALUE!</v>
      </c>
      <c r="I49" s="13" t="e">
        <f t="shared" si="18"/>
        <v>#VALUE!</v>
      </c>
      <c r="J49" s="14" t="e">
        <f t="shared" si="19"/>
        <v>#VALUE!</v>
      </c>
      <c r="K49" s="14" t="e">
        <f t="shared" si="20"/>
        <v>#VALUE!</v>
      </c>
      <c r="L49" s="14" t="e">
        <f t="shared" si="21"/>
        <v>#VALUE!</v>
      </c>
      <c r="M49" s="14" t="e">
        <f t="shared" si="22"/>
        <v>#VALUE!</v>
      </c>
      <c r="N49" s="15" t="e">
        <f t="shared" si="23"/>
        <v>#VALUE!</v>
      </c>
      <c r="O49" s="36" t="e">
        <f t="shared" si="13"/>
        <v>#VALUE!</v>
      </c>
      <c r="P49" s="36" t="str">
        <f t="shared" si="14"/>
        <v xml:space="preserve"> </v>
      </c>
      <c r="Q49" s="36" t="e">
        <f>IF(ISBLANK(comexem)=TRUE,ROUND($K49/optioncom*1000,2),ROUND(($K49+$L49)/optioncomex*1000,2))</f>
        <v>#VALUE!</v>
      </c>
      <c r="R49" s="36" t="e">
        <f>IF(ISBLANK(comexem)=TRUE,ROUND($L49/optionind*1000,2),ROUND(($K49+$L49)/optioncomex*1000,2))</f>
        <v>#VALUE!</v>
      </c>
      <c r="S49" s="37" t="e">
        <f t="shared" si="15"/>
        <v>#VALUE!</v>
      </c>
    </row>
    <row r="50" spans="1:19">
      <c r="A50" s="222">
        <v>1.135</v>
      </c>
      <c r="B50" s="205" t="e">
        <f t="shared" si="16"/>
        <v>#VALUE!</v>
      </c>
      <c r="C50" s="34" t="e">
        <f t="shared" si="1"/>
        <v>#VALUE!</v>
      </c>
      <c r="D50" s="35" t="e">
        <f t="shared" si="2"/>
        <v>#VALUE!</v>
      </c>
      <c r="E50" s="35" t="e">
        <f t="shared" si="3"/>
        <v>#VALUE!</v>
      </c>
      <c r="F50" s="35" t="e">
        <f t="shared" si="4"/>
        <v>#VALUE!</v>
      </c>
      <c r="G50" s="35" t="e">
        <f t="shared" si="5"/>
        <v>#VALUE!</v>
      </c>
      <c r="H50" s="33" t="e">
        <f t="shared" si="17"/>
        <v>#VALUE!</v>
      </c>
      <c r="I50" s="13" t="e">
        <f t="shared" si="18"/>
        <v>#VALUE!</v>
      </c>
      <c r="J50" s="14" t="e">
        <f t="shared" si="19"/>
        <v>#VALUE!</v>
      </c>
      <c r="K50" s="14" t="e">
        <f t="shared" si="20"/>
        <v>#VALUE!</v>
      </c>
      <c r="L50" s="14" t="e">
        <f t="shared" si="21"/>
        <v>#VALUE!</v>
      </c>
      <c r="M50" s="14" t="e">
        <f t="shared" si="22"/>
        <v>#VALUE!</v>
      </c>
      <c r="N50" s="15" t="e">
        <f t="shared" si="23"/>
        <v>#VALUE!</v>
      </c>
      <c r="O50" s="36" t="e">
        <f t="shared" si="13"/>
        <v>#VALUE!</v>
      </c>
      <c r="P50" s="36" t="str">
        <f t="shared" si="14"/>
        <v xml:space="preserve"> </v>
      </c>
      <c r="Q50" s="36" t="e">
        <f>IF(ISBLANK(comexem)=TRUE,ROUND($K50/optioncom*1000,2),ROUND(($K50+$L50)/optioncomex*1000,2))</f>
        <v>#VALUE!</v>
      </c>
      <c r="R50" s="36" t="e">
        <f>IF(ISBLANK(comexem)=TRUE,ROUND($L50/optionind*1000,2),ROUND(($K50+$L50)/optioncomex*1000,2))</f>
        <v>#VALUE!</v>
      </c>
      <c r="S50" s="37" t="e">
        <f t="shared" si="15"/>
        <v>#VALUE!</v>
      </c>
    </row>
    <row r="51" spans="1:19">
      <c r="A51" s="222">
        <v>1.1399999999999999</v>
      </c>
      <c r="B51" s="205" t="e">
        <f t="shared" si="16"/>
        <v>#VALUE!</v>
      </c>
      <c r="C51" s="34" t="e">
        <f t="shared" si="1"/>
        <v>#VALUE!</v>
      </c>
      <c r="D51" s="35" t="e">
        <f t="shared" si="2"/>
        <v>#VALUE!</v>
      </c>
      <c r="E51" s="35" t="e">
        <f t="shared" si="3"/>
        <v>#VALUE!</v>
      </c>
      <c r="F51" s="35" t="e">
        <f t="shared" si="4"/>
        <v>#VALUE!</v>
      </c>
      <c r="G51" s="35" t="e">
        <f t="shared" si="5"/>
        <v>#VALUE!</v>
      </c>
      <c r="H51" s="33" t="e">
        <f t="shared" si="17"/>
        <v>#VALUE!</v>
      </c>
      <c r="I51" s="13" t="e">
        <f t="shared" si="18"/>
        <v>#VALUE!</v>
      </c>
      <c r="J51" s="14" t="e">
        <f t="shared" si="19"/>
        <v>#VALUE!</v>
      </c>
      <c r="K51" s="14" t="e">
        <f t="shared" si="20"/>
        <v>#VALUE!</v>
      </c>
      <c r="L51" s="14" t="e">
        <f t="shared" si="21"/>
        <v>#VALUE!</v>
      </c>
      <c r="M51" s="14" t="e">
        <f t="shared" si="22"/>
        <v>#VALUE!</v>
      </c>
      <c r="N51" s="15" t="e">
        <f t="shared" si="23"/>
        <v>#VALUE!</v>
      </c>
      <c r="O51" s="36" t="e">
        <f t="shared" si="13"/>
        <v>#VALUE!</v>
      </c>
      <c r="P51" s="36" t="str">
        <f t="shared" si="14"/>
        <v xml:space="preserve"> </v>
      </c>
      <c r="Q51" s="36" t="e">
        <f>IF(ISBLANK(comexem)=TRUE,ROUND($K51/optioncom*1000,2),ROUND(($K51+$L51)/optioncomex*1000,2))</f>
        <v>#VALUE!</v>
      </c>
      <c r="R51" s="36" t="e">
        <f>IF(ISBLANK(comexem)=TRUE,ROUND($L51/optionind*1000,2),ROUND(($K51+$L51)/optioncomex*1000,2))</f>
        <v>#VALUE!</v>
      </c>
      <c r="S51" s="37" t="e">
        <f t="shared" si="15"/>
        <v>#VALUE!</v>
      </c>
    </row>
    <row r="52" spans="1:19">
      <c r="A52" s="222">
        <v>1.145</v>
      </c>
      <c r="B52" s="205" t="e">
        <f t="shared" si="16"/>
        <v>#VALUE!</v>
      </c>
      <c r="C52" s="34" t="e">
        <f t="shared" si="1"/>
        <v>#VALUE!</v>
      </c>
      <c r="D52" s="35" t="e">
        <f t="shared" si="2"/>
        <v>#VALUE!</v>
      </c>
      <c r="E52" s="35" t="e">
        <f t="shared" si="3"/>
        <v>#VALUE!</v>
      </c>
      <c r="F52" s="35" t="e">
        <f t="shared" si="4"/>
        <v>#VALUE!</v>
      </c>
      <c r="G52" s="35" t="e">
        <f t="shared" si="5"/>
        <v>#VALUE!</v>
      </c>
      <c r="H52" s="33" t="e">
        <f t="shared" si="17"/>
        <v>#VALUE!</v>
      </c>
      <c r="I52" s="13" t="e">
        <f t="shared" si="18"/>
        <v>#VALUE!</v>
      </c>
      <c r="J52" s="14" t="e">
        <f t="shared" si="19"/>
        <v>#VALUE!</v>
      </c>
      <c r="K52" s="14" t="e">
        <f t="shared" si="20"/>
        <v>#VALUE!</v>
      </c>
      <c r="L52" s="14" t="e">
        <f t="shared" si="21"/>
        <v>#VALUE!</v>
      </c>
      <c r="M52" s="14" t="e">
        <f t="shared" si="22"/>
        <v>#VALUE!</v>
      </c>
      <c r="N52" s="15" t="e">
        <f t="shared" si="23"/>
        <v>#VALUE!</v>
      </c>
      <c r="O52" s="36" t="e">
        <f t="shared" si="13"/>
        <v>#VALUE!</v>
      </c>
      <c r="P52" s="36" t="str">
        <f t="shared" si="14"/>
        <v xml:space="preserve"> </v>
      </c>
      <c r="Q52" s="36" t="e">
        <f>IF(ISBLANK(comexem)=TRUE,ROUND($K52/optioncom*1000,2),ROUND(($K52+$L52)/optioncomex*1000,2))</f>
        <v>#VALUE!</v>
      </c>
      <c r="R52" s="36" t="e">
        <f>IF(ISBLANK(comexem)=TRUE,ROUND($L52/optionind*1000,2),ROUND(($K52+$L52)/optioncomex*1000,2))</f>
        <v>#VALUE!</v>
      </c>
      <c r="S52" s="37" t="e">
        <f t="shared" si="15"/>
        <v>#VALUE!</v>
      </c>
    </row>
    <row r="53" spans="1:19">
      <c r="A53" s="222">
        <v>1.1499999999999999</v>
      </c>
      <c r="B53" s="205" t="e">
        <f t="shared" si="16"/>
        <v>#VALUE!</v>
      </c>
      <c r="C53" s="34" t="e">
        <f t="shared" si="1"/>
        <v>#VALUE!</v>
      </c>
      <c r="D53" s="35" t="e">
        <f t="shared" si="2"/>
        <v>#VALUE!</v>
      </c>
      <c r="E53" s="35" t="e">
        <f t="shared" si="3"/>
        <v>#VALUE!</v>
      </c>
      <c r="F53" s="35" t="e">
        <f t="shared" si="4"/>
        <v>#VALUE!</v>
      </c>
      <c r="G53" s="35" t="e">
        <f t="shared" si="5"/>
        <v>#VALUE!</v>
      </c>
      <c r="H53" s="33" t="e">
        <f t="shared" si="17"/>
        <v>#VALUE!</v>
      </c>
      <c r="I53" s="13" t="e">
        <f t="shared" si="18"/>
        <v>#VALUE!</v>
      </c>
      <c r="J53" s="14" t="e">
        <f t="shared" si="19"/>
        <v>#VALUE!</v>
      </c>
      <c r="K53" s="14" t="e">
        <f t="shared" si="20"/>
        <v>#VALUE!</v>
      </c>
      <c r="L53" s="14" t="e">
        <f t="shared" si="21"/>
        <v>#VALUE!</v>
      </c>
      <c r="M53" s="14" t="e">
        <f t="shared" si="22"/>
        <v>#VALUE!</v>
      </c>
      <c r="N53" s="15" t="e">
        <f t="shared" si="23"/>
        <v>#VALUE!</v>
      </c>
      <c r="O53" s="36" t="e">
        <f t="shared" si="13"/>
        <v>#VALUE!</v>
      </c>
      <c r="P53" s="36" t="str">
        <f t="shared" si="14"/>
        <v xml:space="preserve"> </v>
      </c>
      <c r="Q53" s="36" t="e">
        <f>IF(ISBLANK(comexem)=TRUE,ROUND($K53/optioncom*1000,2),ROUND(($K53+$L53)/optioncomex*1000,2))</f>
        <v>#VALUE!</v>
      </c>
      <c r="R53" s="36" t="e">
        <f>IF(ISBLANK(comexem)=TRUE,ROUND($L53/optionind*1000,2),ROUND(($K53+$L53)/optioncomex*1000,2))</f>
        <v>#VALUE!</v>
      </c>
      <c r="S53" s="37" t="e">
        <f t="shared" si="15"/>
        <v>#VALUE!</v>
      </c>
    </row>
    <row r="54" spans="1:19">
      <c r="A54" s="222">
        <v>1.155</v>
      </c>
      <c r="B54" s="205" t="e">
        <f t="shared" si="16"/>
        <v>#VALUE!</v>
      </c>
      <c r="C54" s="34" t="e">
        <f t="shared" si="1"/>
        <v>#VALUE!</v>
      </c>
      <c r="D54" s="35" t="e">
        <f t="shared" si="2"/>
        <v>#VALUE!</v>
      </c>
      <c r="E54" s="35" t="e">
        <f t="shared" si="3"/>
        <v>#VALUE!</v>
      </c>
      <c r="F54" s="35" t="e">
        <f t="shared" si="4"/>
        <v>#VALUE!</v>
      </c>
      <c r="G54" s="35" t="e">
        <f t="shared" si="5"/>
        <v>#VALUE!</v>
      </c>
      <c r="H54" s="33" t="e">
        <f t="shared" si="17"/>
        <v>#VALUE!</v>
      </c>
      <c r="I54" s="13" t="e">
        <f t="shared" si="18"/>
        <v>#VALUE!</v>
      </c>
      <c r="J54" s="14" t="e">
        <f t="shared" si="19"/>
        <v>#VALUE!</v>
      </c>
      <c r="K54" s="14" t="e">
        <f t="shared" si="20"/>
        <v>#VALUE!</v>
      </c>
      <c r="L54" s="14" t="e">
        <f t="shared" si="21"/>
        <v>#VALUE!</v>
      </c>
      <c r="M54" s="14" t="e">
        <f t="shared" si="22"/>
        <v>#VALUE!</v>
      </c>
      <c r="N54" s="15" t="e">
        <f t="shared" si="23"/>
        <v>#VALUE!</v>
      </c>
      <c r="O54" s="36" t="e">
        <f t="shared" si="13"/>
        <v>#VALUE!</v>
      </c>
      <c r="P54" s="36" t="str">
        <f t="shared" si="14"/>
        <v xml:space="preserve"> </v>
      </c>
      <c r="Q54" s="36" t="e">
        <f>IF(ISBLANK(comexem)=TRUE,ROUND($K54/optioncom*1000,2),ROUND(($K54+$L54)/optioncomex*1000,2))</f>
        <v>#VALUE!</v>
      </c>
      <c r="R54" s="36" t="e">
        <f>IF(ISBLANK(comexem)=TRUE,ROUND($L54/optionind*1000,2),ROUND(($K54+$L54)/optioncomex*1000,2))</f>
        <v>#VALUE!</v>
      </c>
      <c r="S54" s="37" t="e">
        <f t="shared" si="15"/>
        <v>#VALUE!</v>
      </c>
    </row>
    <row r="55" spans="1:19">
      <c r="A55" s="222">
        <v>1.1599999999999999</v>
      </c>
      <c r="B55" s="205" t="e">
        <f t="shared" si="16"/>
        <v>#VALUE!</v>
      </c>
      <c r="C55" s="34" t="e">
        <f t="shared" si="1"/>
        <v>#VALUE!</v>
      </c>
      <c r="D55" s="35" t="e">
        <f t="shared" si="2"/>
        <v>#VALUE!</v>
      </c>
      <c r="E55" s="35" t="e">
        <f t="shared" si="3"/>
        <v>#VALUE!</v>
      </c>
      <c r="F55" s="35" t="e">
        <f t="shared" si="4"/>
        <v>#VALUE!</v>
      </c>
      <c r="G55" s="35" t="e">
        <f t="shared" si="5"/>
        <v>#VALUE!</v>
      </c>
      <c r="H55" s="33" t="e">
        <f t="shared" si="17"/>
        <v>#VALUE!</v>
      </c>
      <c r="I55" s="13" t="e">
        <f t="shared" si="18"/>
        <v>#VALUE!</v>
      </c>
      <c r="J55" s="14" t="e">
        <f t="shared" si="19"/>
        <v>#VALUE!</v>
      </c>
      <c r="K55" s="14" t="e">
        <f t="shared" si="20"/>
        <v>#VALUE!</v>
      </c>
      <c r="L55" s="14" t="e">
        <f t="shared" si="21"/>
        <v>#VALUE!</v>
      </c>
      <c r="M55" s="14" t="e">
        <f t="shared" si="22"/>
        <v>#VALUE!</v>
      </c>
      <c r="N55" s="15" t="e">
        <f t="shared" si="23"/>
        <v>#VALUE!</v>
      </c>
      <c r="O55" s="36" t="e">
        <f t="shared" si="13"/>
        <v>#VALUE!</v>
      </c>
      <c r="P55" s="36" t="str">
        <f t="shared" si="14"/>
        <v xml:space="preserve"> </v>
      </c>
      <c r="Q55" s="36" t="e">
        <f>IF(ISBLANK(comexem)=TRUE,ROUND($K55/optioncom*1000,2),ROUND(($K55+$L55)/optioncomex*1000,2))</f>
        <v>#VALUE!</v>
      </c>
      <c r="R55" s="36" t="e">
        <f>IF(ISBLANK(comexem)=TRUE,ROUND($L55/optionind*1000,2),ROUND(($K55+$L55)/optioncomex*1000,2))</f>
        <v>#VALUE!</v>
      </c>
      <c r="S55" s="37" t="e">
        <f t="shared" si="15"/>
        <v>#VALUE!</v>
      </c>
    </row>
    <row r="56" spans="1:19">
      <c r="A56" s="222">
        <v>1.165</v>
      </c>
      <c r="B56" s="205" t="e">
        <f t="shared" si="16"/>
        <v>#VALUE!</v>
      </c>
      <c r="C56" s="34" t="e">
        <f t="shared" si="1"/>
        <v>#VALUE!</v>
      </c>
      <c r="D56" s="35" t="e">
        <f t="shared" si="2"/>
        <v>#VALUE!</v>
      </c>
      <c r="E56" s="35" t="e">
        <f t="shared" si="3"/>
        <v>#VALUE!</v>
      </c>
      <c r="F56" s="35" t="e">
        <f t="shared" si="4"/>
        <v>#VALUE!</v>
      </c>
      <c r="G56" s="35" t="e">
        <f t="shared" si="5"/>
        <v>#VALUE!</v>
      </c>
      <c r="H56" s="33" t="e">
        <f t="shared" si="17"/>
        <v>#VALUE!</v>
      </c>
      <c r="I56" s="13" t="e">
        <f t="shared" si="18"/>
        <v>#VALUE!</v>
      </c>
      <c r="J56" s="14" t="e">
        <f t="shared" si="19"/>
        <v>#VALUE!</v>
      </c>
      <c r="K56" s="14" t="e">
        <f t="shared" si="20"/>
        <v>#VALUE!</v>
      </c>
      <c r="L56" s="14" t="e">
        <f t="shared" si="21"/>
        <v>#VALUE!</v>
      </c>
      <c r="M56" s="14" t="e">
        <f t="shared" si="22"/>
        <v>#VALUE!</v>
      </c>
      <c r="N56" s="15" t="e">
        <f t="shared" si="23"/>
        <v>#VALUE!</v>
      </c>
      <c r="O56" s="36" t="e">
        <f t="shared" si="13"/>
        <v>#VALUE!</v>
      </c>
      <c r="P56" s="36" t="str">
        <f t="shared" si="14"/>
        <v xml:space="preserve"> </v>
      </c>
      <c r="Q56" s="36" t="e">
        <f>IF(ISBLANK(comexem)=TRUE,ROUND($K56/optioncom*1000,2),ROUND(($K56+$L56)/optioncomex*1000,2))</f>
        <v>#VALUE!</v>
      </c>
      <c r="R56" s="36" t="e">
        <f>IF(ISBLANK(comexem)=TRUE,ROUND($L56/optionind*1000,2),ROUND(($K56+$L56)/optioncomex*1000,2))</f>
        <v>#VALUE!</v>
      </c>
      <c r="S56" s="37" t="e">
        <f t="shared" si="15"/>
        <v>#VALUE!</v>
      </c>
    </row>
    <row r="57" spans="1:19">
      <c r="A57" s="222">
        <v>1.17</v>
      </c>
      <c r="B57" s="205" t="e">
        <f t="shared" si="16"/>
        <v>#VALUE!</v>
      </c>
      <c r="C57" s="34" t="e">
        <f t="shared" si="1"/>
        <v>#VALUE!</v>
      </c>
      <c r="D57" s="35" t="e">
        <f t="shared" si="2"/>
        <v>#VALUE!</v>
      </c>
      <c r="E57" s="35" t="e">
        <f t="shared" si="3"/>
        <v>#VALUE!</v>
      </c>
      <c r="F57" s="35" t="e">
        <f t="shared" si="4"/>
        <v>#VALUE!</v>
      </c>
      <c r="G57" s="35" t="e">
        <f t="shared" si="5"/>
        <v>#VALUE!</v>
      </c>
      <c r="H57" s="33" t="e">
        <f t="shared" si="17"/>
        <v>#VALUE!</v>
      </c>
      <c r="I57" s="13" t="e">
        <f t="shared" si="18"/>
        <v>#VALUE!</v>
      </c>
      <c r="J57" s="14" t="e">
        <f t="shared" si="19"/>
        <v>#VALUE!</v>
      </c>
      <c r="K57" s="14" t="e">
        <f t="shared" si="20"/>
        <v>#VALUE!</v>
      </c>
      <c r="L57" s="14" t="e">
        <f t="shared" si="21"/>
        <v>#VALUE!</v>
      </c>
      <c r="M57" s="14" t="e">
        <f t="shared" si="22"/>
        <v>#VALUE!</v>
      </c>
      <c r="N57" s="15" t="e">
        <f t="shared" si="23"/>
        <v>#VALUE!</v>
      </c>
      <c r="O57" s="36" t="e">
        <f t="shared" si="13"/>
        <v>#VALUE!</v>
      </c>
      <c r="P57" s="36" t="str">
        <f t="shared" si="14"/>
        <v xml:space="preserve"> </v>
      </c>
      <c r="Q57" s="36" t="e">
        <f>IF(ISBLANK(comexem)=TRUE,ROUND($K57/optioncom*1000,2),ROUND(($K57+$L57)/optioncomex*1000,2))</f>
        <v>#VALUE!</v>
      </c>
      <c r="R57" s="36" t="e">
        <f>IF(ISBLANK(comexem)=TRUE,ROUND($L57/optionind*1000,2),ROUND(($K57+$L57)/optioncomex*1000,2))</f>
        <v>#VALUE!</v>
      </c>
      <c r="S57" s="37" t="e">
        <f t="shared" si="15"/>
        <v>#VALUE!</v>
      </c>
    </row>
    <row r="58" spans="1:19">
      <c r="A58" s="222">
        <v>1.175</v>
      </c>
      <c r="B58" s="205" t="e">
        <f t="shared" si="16"/>
        <v>#VALUE!</v>
      </c>
      <c r="C58" s="34" t="e">
        <f t="shared" si="1"/>
        <v>#VALUE!</v>
      </c>
      <c r="D58" s="35" t="e">
        <f t="shared" si="2"/>
        <v>#VALUE!</v>
      </c>
      <c r="E58" s="35" t="e">
        <f t="shared" si="3"/>
        <v>#VALUE!</v>
      </c>
      <c r="F58" s="35" t="e">
        <f t="shared" si="4"/>
        <v>#VALUE!</v>
      </c>
      <c r="G58" s="35" t="e">
        <f t="shared" si="5"/>
        <v>#VALUE!</v>
      </c>
      <c r="H58" s="33" t="e">
        <f t="shared" si="17"/>
        <v>#VALUE!</v>
      </c>
      <c r="I58" s="13" t="e">
        <f t="shared" si="18"/>
        <v>#VALUE!</v>
      </c>
      <c r="J58" s="14" t="e">
        <f t="shared" si="19"/>
        <v>#VALUE!</v>
      </c>
      <c r="K58" s="14" t="e">
        <f t="shared" si="20"/>
        <v>#VALUE!</v>
      </c>
      <c r="L58" s="14" t="e">
        <f t="shared" si="21"/>
        <v>#VALUE!</v>
      </c>
      <c r="M58" s="14" t="e">
        <f t="shared" si="22"/>
        <v>#VALUE!</v>
      </c>
      <c r="N58" s="15" t="e">
        <f t="shared" si="23"/>
        <v>#VALUE!</v>
      </c>
      <c r="O58" s="36" t="e">
        <f t="shared" si="13"/>
        <v>#VALUE!</v>
      </c>
      <c r="P58" s="36" t="str">
        <f t="shared" si="14"/>
        <v xml:space="preserve"> </v>
      </c>
      <c r="Q58" s="36" t="e">
        <f>IF(ISBLANK(comexem)=TRUE,ROUND($K58/optioncom*1000,2),ROUND(($K58+$L58)/optioncomex*1000,2))</f>
        <v>#VALUE!</v>
      </c>
      <c r="R58" s="36" t="e">
        <f>IF(ISBLANK(comexem)=TRUE,ROUND($L58/optionind*1000,2),ROUND(($K58+$L58)/optioncomex*1000,2))</f>
        <v>#VALUE!</v>
      </c>
      <c r="S58" s="37" t="e">
        <f t="shared" si="15"/>
        <v>#VALUE!</v>
      </c>
    </row>
    <row r="59" spans="1:19">
      <c r="A59" s="222">
        <v>1.18</v>
      </c>
      <c r="B59" s="205" t="e">
        <f t="shared" si="16"/>
        <v>#VALUE!</v>
      </c>
      <c r="C59" s="34" t="e">
        <f t="shared" si="1"/>
        <v>#VALUE!</v>
      </c>
      <c r="D59" s="35" t="e">
        <f t="shared" si="2"/>
        <v>#VALUE!</v>
      </c>
      <c r="E59" s="35" t="e">
        <f t="shared" si="3"/>
        <v>#VALUE!</v>
      </c>
      <c r="F59" s="35" t="e">
        <f t="shared" si="4"/>
        <v>#VALUE!</v>
      </c>
      <c r="G59" s="35" t="e">
        <f t="shared" si="5"/>
        <v>#VALUE!</v>
      </c>
      <c r="H59" s="33" t="e">
        <f t="shared" si="17"/>
        <v>#VALUE!</v>
      </c>
      <c r="I59" s="13" t="e">
        <f t="shared" si="18"/>
        <v>#VALUE!</v>
      </c>
      <c r="J59" s="14" t="e">
        <f t="shared" si="19"/>
        <v>#VALUE!</v>
      </c>
      <c r="K59" s="14" t="e">
        <f t="shared" si="20"/>
        <v>#VALUE!</v>
      </c>
      <c r="L59" s="14" t="e">
        <f t="shared" si="21"/>
        <v>#VALUE!</v>
      </c>
      <c r="M59" s="14" t="e">
        <f t="shared" si="22"/>
        <v>#VALUE!</v>
      </c>
      <c r="N59" s="15" t="e">
        <f t="shared" si="23"/>
        <v>#VALUE!</v>
      </c>
      <c r="O59" s="36" t="e">
        <f t="shared" si="13"/>
        <v>#VALUE!</v>
      </c>
      <c r="P59" s="36" t="str">
        <f t="shared" si="14"/>
        <v xml:space="preserve"> </v>
      </c>
      <c r="Q59" s="36" t="e">
        <f>IF(ISBLANK(comexem)=TRUE,ROUND($K59/optioncom*1000,2),ROUND(($K59+$L59)/optioncomex*1000,2))</f>
        <v>#VALUE!</v>
      </c>
      <c r="R59" s="36" t="e">
        <f>IF(ISBLANK(comexem)=TRUE,ROUND($L59/optionind*1000,2),ROUND(($K59+$L59)/optioncomex*1000,2))</f>
        <v>#VALUE!</v>
      </c>
      <c r="S59" s="37" t="e">
        <f t="shared" si="15"/>
        <v>#VALUE!</v>
      </c>
    </row>
    <row r="60" spans="1:19">
      <c r="A60" s="222">
        <v>1.1850000000000001</v>
      </c>
      <c r="B60" s="205" t="e">
        <f t="shared" si="16"/>
        <v>#VALUE!</v>
      </c>
      <c r="C60" s="34" t="e">
        <f t="shared" si="1"/>
        <v>#VALUE!</v>
      </c>
      <c r="D60" s="35" t="e">
        <f t="shared" si="2"/>
        <v>#VALUE!</v>
      </c>
      <c r="E60" s="35" t="e">
        <f t="shared" si="3"/>
        <v>#VALUE!</v>
      </c>
      <c r="F60" s="35" t="e">
        <f t="shared" si="4"/>
        <v>#VALUE!</v>
      </c>
      <c r="G60" s="35" t="e">
        <f t="shared" si="5"/>
        <v>#VALUE!</v>
      </c>
      <c r="H60" s="33" t="e">
        <f t="shared" si="17"/>
        <v>#VALUE!</v>
      </c>
      <c r="I60" s="13" t="e">
        <f t="shared" si="18"/>
        <v>#VALUE!</v>
      </c>
      <c r="J60" s="14" t="e">
        <f t="shared" si="19"/>
        <v>#VALUE!</v>
      </c>
      <c r="K60" s="14" t="e">
        <f t="shared" si="20"/>
        <v>#VALUE!</v>
      </c>
      <c r="L60" s="14" t="e">
        <f t="shared" si="21"/>
        <v>#VALUE!</v>
      </c>
      <c r="M60" s="14" t="e">
        <f t="shared" si="22"/>
        <v>#VALUE!</v>
      </c>
      <c r="N60" s="15" t="e">
        <f t="shared" si="23"/>
        <v>#VALUE!</v>
      </c>
      <c r="O60" s="36" t="e">
        <f t="shared" si="13"/>
        <v>#VALUE!</v>
      </c>
      <c r="P60" s="36" t="str">
        <f t="shared" si="14"/>
        <v xml:space="preserve"> </v>
      </c>
      <c r="Q60" s="36" t="e">
        <f>IF(ISBLANK(comexem)=TRUE,ROUND($K60/optioncom*1000,2),ROUND(($K60+$L60)/optioncomex*1000,2))</f>
        <v>#VALUE!</v>
      </c>
      <c r="R60" s="36" t="e">
        <f>IF(ISBLANK(comexem)=TRUE,ROUND($L60/optionind*1000,2),ROUND(($K60+$L60)/optioncomex*1000,2))</f>
        <v>#VALUE!</v>
      </c>
      <c r="S60" s="37" t="e">
        <f t="shared" si="15"/>
        <v>#VALUE!</v>
      </c>
    </row>
    <row r="61" spans="1:19">
      <c r="A61" s="222">
        <v>1.19</v>
      </c>
      <c r="B61" s="205" t="e">
        <f t="shared" si="16"/>
        <v>#VALUE!</v>
      </c>
      <c r="C61" s="34" t="e">
        <f t="shared" si="1"/>
        <v>#VALUE!</v>
      </c>
      <c r="D61" s="35" t="e">
        <f t="shared" si="2"/>
        <v>#VALUE!</v>
      </c>
      <c r="E61" s="35" t="e">
        <f t="shared" si="3"/>
        <v>#VALUE!</v>
      </c>
      <c r="F61" s="35" t="e">
        <f t="shared" si="4"/>
        <v>#VALUE!</v>
      </c>
      <c r="G61" s="35" t="e">
        <f t="shared" si="5"/>
        <v>#VALUE!</v>
      </c>
      <c r="H61" s="33" t="e">
        <f t="shared" si="17"/>
        <v>#VALUE!</v>
      </c>
      <c r="I61" s="13" t="e">
        <f t="shared" si="18"/>
        <v>#VALUE!</v>
      </c>
      <c r="J61" s="14" t="e">
        <f t="shared" si="19"/>
        <v>#VALUE!</v>
      </c>
      <c r="K61" s="14" t="e">
        <f t="shared" si="20"/>
        <v>#VALUE!</v>
      </c>
      <c r="L61" s="14" t="e">
        <f t="shared" si="21"/>
        <v>#VALUE!</v>
      </c>
      <c r="M61" s="14" t="e">
        <f t="shared" si="22"/>
        <v>#VALUE!</v>
      </c>
      <c r="N61" s="15" t="e">
        <f t="shared" si="23"/>
        <v>#VALUE!</v>
      </c>
      <c r="O61" s="36" t="e">
        <f t="shared" si="13"/>
        <v>#VALUE!</v>
      </c>
      <c r="P61" s="36" t="str">
        <f t="shared" si="14"/>
        <v xml:space="preserve"> </v>
      </c>
      <c r="Q61" s="36" t="e">
        <f>IF(ISBLANK(comexem)=TRUE,ROUND($K61/optioncom*1000,2),ROUND(($K61+$L61)/optioncomex*1000,2))</f>
        <v>#VALUE!</v>
      </c>
      <c r="R61" s="36" t="e">
        <f>IF(ISBLANK(comexem)=TRUE,ROUND($L61/optionind*1000,2),ROUND(($K61+$L61)/optioncomex*1000,2))</f>
        <v>#VALUE!</v>
      </c>
      <c r="S61" s="37" t="e">
        <f t="shared" si="15"/>
        <v>#VALUE!</v>
      </c>
    </row>
    <row r="62" spans="1:19">
      <c r="A62" s="222">
        <v>1.1950000000000001</v>
      </c>
      <c r="B62" s="205" t="e">
        <f t="shared" si="16"/>
        <v>#VALUE!</v>
      </c>
      <c r="C62" s="34" t="e">
        <f t="shared" si="1"/>
        <v>#VALUE!</v>
      </c>
      <c r="D62" s="35" t="e">
        <f t="shared" si="2"/>
        <v>#VALUE!</v>
      </c>
      <c r="E62" s="35" t="e">
        <f t="shared" si="3"/>
        <v>#VALUE!</v>
      </c>
      <c r="F62" s="35" t="e">
        <f t="shared" si="4"/>
        <v>#VALUE!</v>
      </c>
      <c r="G62" s="35" t="e">
        <f t="shared" si="5"/>
        <v>#VALUE!</v>
      </c>
      <c r="H62" s="33" t="e">
        <f t="shared" si="17"/>
        <v>#VALUE!</v>
      </c>
      <c r="I62" s="13" t="e">
        <f t="shared" si="18"/>
        <v>#VALUE!</v>
      </c>
      <c r="J62" s="14" t="e">
        <f t="shared" si="19"/>
        <v>#VALUE!</v>
      </c>
      <c r="K62" s="14" t="e">
        <f t="shared" si="20"/>
        <v>#VALUE!</v>
      </c>
      <c r="L62" s="14" t="e">
        <f t="shared" si="21"/>
        <v>#VALUE!</v>
      </c>
      <c r="M62" s="14" t="e">
        <f t="shared" si="22"/>
        <v>#VALUE!</v>
      </c>
      <c r="N62" s="15" t="e">
        <f t="shared" si="23"/>
        <v>#VALUE!</v>
      </c>
      <c r="O62" s="36" t="e">
        <f t="shared" si="13"/>
        <v>#VALUE!</v>
      </c>
      <c r="P62" s="36" t="str">
        <f t="shared" si="14"/>
        <v xml:space="preserve"> </v>
      </c>
      <c r="Q62" s="36" t="e">
        <f>IF(ISBLANK(comexem)=TRUE,ROUND($K62/optioncom*1000,2),ROUND(($K62+$L62)/optioncomex*1000,2))</f>
        <v>#VALUE!</v>
      </c>
      <c r="R62" s="36" t="e">
        <f>IF(ISBLANK(comexem)=TRUE,ROUND($L62/optionind*1000,2),ROUND(($K62+$L62)/optioncomex*1000,2))</f>
        <v>#VALUE!</v>
      </c>
      <c r="S62" s="37" t="e">
        <f t="shared" si="15"/>
        <v>#VALUE!</v>
      </c>
    </row>
    <row r="63" spans="1:19">
      <c r="A63" s="222">
        <v>1.2</v>
      </c>
      <c r="B63" s="205" t="e">
        <f t="shared" si="16"/>
        <v>#VALUE!</v>
      </c>
      <c r="C63" s="34" t="e">
        <f t="shared" si="1"/>
        <v>#VALUE!</v>
      </c>
      <c r="D63" s="35" t="e">
        <f t="shared" si="2"/>
        <v>#VALUE!</v>
      </c>
      <c r="E63" s="35" t="e">
        <f t="shared" si="3"/>
        <v>#VALUE!</v>
      </c>
      <c r="F63" s="35" t="e">
        <f t="shared" si="4"/>
        <v>#VALUE!</v>
      </c>
      <c r="G63" s="35" t="e">
        <f t="shared" si="5"/>
        <v>#VALUE!</v>
      </c>
      <c r="H63" s="33" t="e">
        <f t="shared" si="17"/>
        <v>#VALUE!</v>
      </c>
      <c r="I63" s="13" t="e">
        <f t="shared" si="18"/>
        <v>#VALUE!</v>
      </c>
      <c r="J63" s="14" t="e">
        <f t="shared" si="19"/>
        <v>#VALUE!</v>
      </c>
      <c r="K63" s="14" t="e">
        <f t="shared" si="20"/>
        <v>#VALUE!</v>
      </c>
      <c r="L63" s="14" t="e">
        <f t="shared" si="21"/>
        <v>#VALUE!</v>
      </c>
      <c r="M63" s="14" t="e">
        <f t="shared" si="22"/>
        <v>#VALUE!</v>
      </c>
      <c r="N63" s="15" t="e">
        <f t="shared" si="23"/>
        <v>#VALUE!</v>
      </c>
      <c r="O63" s="36" t="e">
        <f t="shared" si="13"/>
        <v>#VALUE!</v>
      </c>
      <c r="P63" s="36" t="str">
        <f t="shared" si="14"/>
        <v xml:space="preserve"> </v>
      </c>
      <c r="Q63" s="36" t="e">
        <f>IF(ISBLANK(comexem)=TRUE,ROUND($K63/optioncom*1000,2),ROUND(($K63+$L63)/optioncomex*1000,2))</f>
        <v>#VALUE!</v>
      </c>
      <c r="R63" s="36" t="e">
        <f>IF(ISBLANK(comexem)=TRUE,ROUND($L63/optionind*1000,2),ROUND(($K63+$L63)/optioncomex*1000,2))</f>
        <v>#VALUE!</v>
      </c>
      <c r="S63" s="37" t="e">
        <f t="shared" si="15"/>
        <v>#VALUE!</v>
      </c>
    </row>
    <row r="64" spans="1:19">
      <c r="A64" s="222">
        <v>1.2050000000000001</v>
      </c>
      <c r="B64" s="205" t="e">
        <f t="shared" si="16"/>
        <v>#VALUE!</v>
      </c>
      <c r="C64" s="34" t="e">
        <f t="shared" si="1"/>
        <v>#VALUE!</v>
      </c>
      <c r="D64" s="35" t="e">
        <f t="shared" si="2"/>
        <v>#VALUE!</v>
      </c>
      <c r="E64" s="35" t="e">
        <f t="shared" si="3"/>
        <v>#VALUE!</v>
      </c>
      <c r="F64" s="35" t="e">
        <f t="shared" si="4"/>
        <v>#VALUE!</v>
      </c>
      <c r="G64" s="35" t="e">
        <f t="shared" si="5"/>
        <v>#VALUE!</v>
      </c>
      <c r="H64" s="33" t="e">
        <f t="shared" si="17"/>
        <v>#VALUE!</v>
      </c>
      <c r="I64" s="13" t="e">
        <f t="shared" si="18"/>
        <v>#VALUE!</v>
      </c>
      <c r="J64" s="14" t="e">
        <f t="shared" si="19"/>
        <v>#VALUE!</v>
      </c>
      <c r="K64" s="14" t="e">
        <f t="shared" si="20"/>
        <v>#VALUE!</v>
      </c>
      <c r="L64" s="14" t="e">
        <f t="shared" si="21"/>
        <v>#VALUE!</v>
      </c>
      <c r="M64" s="14" t="e">
        <f t="shared" si="22"/>
        <v>#VALUE!</v>
      </c>
      <c r="N64" s="15" t="e">
        <f t="shared" si="23"/>
        <v>#VALUE!</v>
      </c>
      <c r="O64" s="36" t="e">
        <f t="shared" si="13"/>
        <v>#VALUE!</v>
      </c>
      <c r="P64" s="36" t="str">
        <f t="shared" si="14"/>
        <v xml:space="preserve"> </v>
      </c>
      <c r="Q64" s="36" t="e">
        <f>IF(ISBLANK(comexem)=TRUE,ROUND($K64/optioncom*1000,2),ROUND(($K64+$L64)/optioncomex*1000,2))</f>
        <v>#VALUE!</v>
      </c>
      <c r="R64" s="36" t="e">
        <f>IF(ISBLANK(comexem)=TRUE,ROUND($L64/optionind*1000,2),ROUND(($K64+$L64)/optioncomex*1000,2))</f>
        <v>#VALUE!</v>
      </c>
      <c r="S64" s="37" t="e">
        <f t="shared" si="15"/>
        <v>#VALUE!</v>
      </c>
    </row>
    <row r="65" spans="1:36">
      <c r="A65" s="222">
        <v>1.21</v>
      </c>
      <c r="B65" s="205" t="e">
        <f t="shared" si="16"/>
        <v>#VALUE!</v>
      </c>
      <c r="C65" s="34" t="e">
        <f t="shared" si="1"/>
        <v>#VALUE!</v>
      </c>
      <c r="D65" s="35" t="e">
        <f t="shared" si="2"/>
        <v>#VALUE!</v>
      </c>
      <c r="E65" s="35" t="e">
        <f t="shared" si="3"/>
        <v>#VALUE!</v>
      </c>
      <c r="F65" s="35" t="e">
        <f t="shared" si="4"/>
        <v>#VALUE!</v>
      </c>
      <c r="G65" s="35" t="e">
        <f t="shared" si="5"/>
        <v>#VALUE!</v>
      </c>
      <c r="H65" s="33" t="e">
        <f t="shared" si="17"/>
        <v>#VALUE!</v>
      </c>
      <c r="I65" s="13" t="e">
        <f t="shared" si="18"/>
        <v>#VALUE!</v>
      </c>
      <c r="J65" s="14" t="e">
        <f t="shared" si="19"/>
        <v>#VALUE!</v>
      </c>
      <c r="K65" s="14" t="e">
        <f t="shared" si="20"/>
        <v>#VALUE!</v>
      </c>
      <c r="L65" s="14" t="e">
        <f t="shared" si="21"/>
        <v>#VALUE!</v>
      </c>
      <c r="M65" s="14" t="e">
        <f t="shared" si="22"/>
        <v>#VALUE!</v>
      </c>
      <c r="N65" s="15" t="e">
        <f t="shared" si="23"/>
        <v>#VALUE!</v>
      </c>
      <c r="O65" s="36" t="e">
        <f t="shared" si="13"/>
        <v>#VALUE!</v>
      </c>
      <c r="P65" s="36" t="str">
        <f t="shared" si="14"/>
        <v xml:space="preserve"> </v>
      </c>
      <c r="Q65" s="36" t="e">
        <f>IF(ISBLANK(comexem)=TRUE,ROUND($K65/optioncom*1000,2),ROUND(($K65+$L65)/optioncomex*1000,2))</f>
        <v>#VALUE!</v>
      </c>
      <c r="R65" s="36" t="e">
        <f>IF(ISBLANK(comexem)=TRUE,ROUND($L65/optionind*1000,2),ROUND(($K65+$L65)/optioncomex*1000,2))</f>
        <v>#VALUE!</v>
      </c>
      <c r="S65" s="37" t="e">
        <f t="shared" si="15"/>
        <v>#VALUE!</v>
      </c>
    </row>
    <row r="66" spans="1:36">
      <c r="A66" s="222">
        <v>1.2150000000000001</v>
      </c>
      <c r="B66" s="205" t="e">
        <f t="shared" si="16"/>
        <v>#VALUE!</v>
      </c>
      <c r="C66" s="34" t="e">
        <f t="shared" si="1"/>
        <v>#VALUE!</v>
      </c>
      <c r="D66" s="35" t="e">
        <f t="shared" si="2"/>
        <v>#VALUE!</v>
      </c>
      <c r="E66" s="35" t="e">
        <f t="shared" si="3"/>
        <v>#VALUE!</v>
      </c>
      <c r="F66" s="35" t="e">
        <f t="shared" si="4"/>
        <v>#VALUE!</v>
      </c>
      <c r="G66" s="35" t="e">
        <f t="shared" si="5"/>
        <v>#VALUE!</v>
      </c>
      <c r="H66" s="33" t="e">
        <f t="shared" si="17"/>
        <v>#VALUE!</v>
      </c>
      <c r="I66" s="13" t="e">
        <f t="shared" si="18"/>
        <v>#VALUE!</v>
      </c>
      <c r="J66" s="14" t="e">
        <f t="shared" si="19"/>
        <v>#VALUE!</v>
      </c>
      <c r="K66" s="14" t="e">
        <f t="shared" si="20"/>
        <v>#VALUE!</v>
      </c>
      <c r="L66" s="14" t="e">
        <f t="shared" si="21"/>
        <v>#VALUE!</v>
      </c>
      <c r="M66" s="14" t="e">
        <f t="shared" si="22"/>
        <v>#VALUE!</v>
      </c>
      <c r="N66" s="15" t="e">
        <f t="shared" si="23"/>
        <v>#VALUE!</v>
      </c>
      <c r="O66" s="36" t="e">
        <f t="shared" si="13"/>
        <v>#VALUE!</v>
      </c>
      <c r="P66" s="36" t="str">
        <f t="shared" si="14"/>
        <v xml:space="preserve"> </v>
      </c>
      <c r="Q66" s="36" t="e">
        <f>IF(ISBLANK(comexem)=TRUE,ROUND($K66/optioncom*1000,2),ROUND(($K66+$L66)/optioncomex*1000,2))</f>
        <v>#VALUE!</v>
      </c>
      <c r="R66" s="36" t="e">
        <f>IF(ISBLANK(comexem)=TRUE,ROUND($L66/optionind*1000,2),ROUND(($K66+$L66)/optioncomex*1000,2))</f>
        <v>#VALUE!</v>
      </c>
      <c r="S66" s="37" t="e">
        <f t="shared" si="15"/>
        <v>#VALUE!</v>
      </c>
    </row>
    <row r="67" spans="1:36">
      <c r="A67" s="222">
        <v>1.22</v>
      </c>
      <c r="B67" s="205" t="e">
        <f t="shared" si="16"/>
        <v>#VALUE!</v>
      </c>
      <c r="C67" s="34" t="e">
        <f t="shared" si="1"/>
        <v>#VALUE!</v>
      </c>
      <c r="D67" s="35" t="e">
        <f t="shared" si="2"/>
        <v>#VALUE!</v>
      </c>
      <c r="E67" s="35" t="e">
        <f t="shared" si="3"/>
        <v>#VALUE!</v>
      </c>
      <c r="F67" s="35" t="e">
        <f t="shared" si="4"/>
        <v>#VALUE!</v>
      </c>
      <c r="G67" s="35" t="e">
        <f t="shared" si="5"/>
        <v>#VALUE!</v>
      </c>
      <c r="H67" s="33" t="e">
        <f t="shared" si="17"/>
        <v>#VALUE!</v>
      </c>
      <c r="I67" s="13" t="e">
        <f t="shared" si="18"/>
        <v>#VALUE!</v>
      </c>
      <c r="J67" s="14" t="e">
        <f t="shared" si="19"/>
        <v>#VALUE!</v>
      </c>
      <c r="K67" s="14" t="e">
        <f t="shared" si="20"/>
        <v>#VALUE!</v>
      </c>
      <c r="L67" s="14" t="e">
        <f t="shared" si="21"/>
        <v>#VALUE!</v>
      </c>
      <c r="M67" s="14" t="e">
        <f t="shared" si="22"/>
        <v>#VALUE!</v>
      </c>
      <c r="N67" s="15" t="e">
        <f t="shared" si="23"/>
        <v>#VALUE!</v>
      </c>
      <c r="O67" s="36" t="e">
        <f t="shared" si="13"/>
        <v>#VALUE!</v>
      </c>
      <c r="P67" s="36" t="str">
        <f t="shared" si="14"/>
        <v xml:space="preserve"> </v>
      </c>
      <c r="Q67" s="36" t="e">
        <f>IF(ISBLANK(comexem)=TRUE,ROUND($K67/optioncom*1000,2),ROUND(($K67+$L67)/optioncomex*1000,2))</f>
        <v>#VALUE!</v>
      </c>
      <c r="R67" s="36" t="e">
        <f>IF(ISBLANK(comexem)=TRUE,ROUND($L67/optionind*1000,2),ROUND(($K67+$L67)/optioncomex*1000,2))</f>
        <v>#VALUE!</v>
      </c>
      <c r="S67" s="37" t="e">
        <f t="shared" si="15"/>
        <v>#VALUE!</v>
      </c>
    </row>
    <row r="68" spans="1:36">
      <c r="A68" s="222">
        <v>1.2250000000000001</v>
      </c>
      <c r="B68" s="205" t="e">
        <f t="shared" si="16"/>
        <v>#VALUE!</v>
      </c>
      <c r="C68" s="34" t="e">
        <f t="shared" si="1"/>
        <v>#VALUE!</v>
      </c>
      <c r="D68" s="35" t="e">
        <f t="shared" si="2"/>
        <v>#VALUE!</v>
      </c>
      <c r="E68" s="35" t="e">
        <f t="shared" si="3"/>
        <v>#VALUE!</v>
      </c>
      <c r="F68" s="35" t="e">
        <f t="shared" si="4"/>
        <v>#VALUE!</v>
      </c>
      <c r="G68" s="35" t="e">
        <f t="shared" si="5"/>
        <v>#VALUE!</v>
      </c>
      <c r="H68" s="33" t="e">
        <f t="shared" si="17"/>
        <v>#VALUE!</v>
      </c>
      <c r="I68" s="13" t="e">
        <f t="shared" si="18"/>
        <v>#VALUE!</v>
      </c>
      <c r="J68" s="14" t="e">
        <f t="shared" si="19"/>
        <v>#VALUE!</v>
      </c>
      <c r="K68" s="14" t="e">
        <f t="shared" si="20"/>
        <v>#VALUE!</v>
      </c>
      <c r="L68" s="14" t="e">
        <f t="shared" si="21"/>
        <v>#VALUE!</v>
      </c>
      <c r="M68" s="14" t="e">
        <f t="shared" si="22"/>
        <v>#VALUE!</v>
      </c>
      <c r="N68" s="15" t="e">
        <f t="shared" si="23"/>
        <v>#VALUE!</v>
      </c>
      <c r="O68" s="36" t="e">
        <f t="shared" si="13"/>
        <v>#VALUE!</v>
      </c>
      <c r="P68" s="36" t="str">
        <f t="shared" si="14"/>
        <v xml:space="preserve"> </v>
      </c>
      <c r="Q68" s="36" t="e">
        <f>IF(ISBLANK(comexem)=TRUE,ROUND($K68/optioncom*1000,2),ROUND(($K68+$L68)/optioncomex*1000,2))</f>
        <v>#VALUE!</v>
      </c>
      <c r="R68" s="36" t="e">
        <f>IF(ISBLANK(comexem)=TRUE,ROUND($L68/optionind*1000,2),ROUND(($K68+$L68)/optioncomex*1000,2))</f>
        <v>#VALUE!</v>
      </c>
      <c r="S68" s="37" t="e">
        <f t="shared" si="15"/>
        <v>#VALUE!</v>
      </c>
    </row>
    <row r="69" spans="1:36">
      <c r="A69" s="222">
        <v>1.23</v>
      </c>
      <c r="B69" s="205" t="e">
        <f t="shared" si="16"/>
        <v>#VALUE!</v>
      </c>
      <c r="C69" s="34" t="e">
        <f t="shared" si="1"/>
        <v>#VALUE!</v>
      </c>
      <c r="D69" s="35" t="e">
        <f t="shared" si="2"/>
        <v>#VALUE!</v>
      </c>
      <c r="E69" s="35" t="e">
        <f t="shared" si="3"/>
        <v>#VALUE!</v>
      </c>
      <c r="F69" s="35" t="e">
        <f t="shared" si="4"/>
        <v>#VALUE!</v>
      </c>
      <c r="G69" s="35" t="e">
        <f t="shared" si="5"/>
        <v>#VALUE!</v>
      </c>
      <c r="H69" s="33" t="e">
        <f t="shared" si="17"/>
        <v>#VALUE!</v>
      </c>
      <c r="I69" s="13" t="e">
        <f t="shared" si="18"/>
        <v>#VALUE!</v>
      </c>
      <c r="J69" s="14" t="e">
        <f t="shared" si="19"/>
        <v>#VALUE!</v>
      </c>
      <c r="K69" s="14" t="e">
        <f t="shared" si="20"/>
        <v>#VALUE!</v>
      </c>
      <c r="L69" s="14" t="e">
        <f t="shared" si="21"/>
        <v>#VALUE!</v>
      </c>
      <c r="M69" s="14" t="e">
        <f t="shared" si="22"/>
        <v>#VALUE!</v>
      </c>
      <c r="N69" s="15" t="e">
        <f t="shared" si="23"/>
        <v>#VALUE!</v>
      </c>
      <c r="O69" s="36" t="e">
        <f t="shared" si="13"/>
        <v>#VALUE!</v>
      </c>
      <c r="P69" s="36" t="str">
        <f t="shared" si="14"/>
        <v xml:space="preserve"> </v>
      </c>
      <c r="Q69" s="36" t="e">
        <f>IF(ISBLANK(comexem)=TRUE,ROUND($K69/optioncom*1000,2),ROUND(($K69+$L69)/optioncomex*1000,2))</f>
        <v>#VALUE!</v>
      </c>
      <c r="R69" s="36" t="e">
        <f>IF(ISBLANK(comexem)=TRUE,ROUND($L69/optionind*1000,2),ROUND(($K69+$L69)/optioncomex*1000,2))</f>
        <v>#VALUE!</v>
      </c>
      <c r="S69" s="37" t="e">
        <f t="shared" si="15"/>
        <v>#VALUE!</v>
      </c>
    </row>
    <row r="70" spans="1:36">
      <c r="A70" s="222">
        <v>1.2350000000000001</v>
      </c>
      <c r="B70" s="205" t="e">
        <f t="shared" si="16"/>
        <v>#VALUE!</v>
      </c>
      <c r="C70" s="34" t="e">
        <f t="shared" si="1"/>
        <v>#VALUE!</v>
      </c>
      <c r="D70" s="35" t="e">
        <f t="shared" si="2"/>
        <v>#VALUE!</v>
      </c>
      <c r="E70" s="35" t="e">
        <f t="shared" si="3"/>
        <v>#VALUE!</v>
      </c>
      <c r="F70" s="35" t="e">
        <f t="shared" si="4"/>
        <v>#VALUE!</v>
      </c>
      <c r="G70" s="35" t="e">
        <f t="shared" si="5"/>
        <v>#VALUE!</v>
      </c>
      <c r="H70" s="33" t="e">
        <f t="shared" si="17"/>
        <v>#VALUE!</v>
      </c>
      <c r="I70" s="13" t="e">
        <f t="shared" si="18"/>
        <v>#VALUE!</v>
      </c>
      <c r="J70" s="14" t="e">
        <f t="shared" si="19"/>
        <v>#VALUE!</v>
      </c>
      <c r="K70" s="14" t="e">
        <f t="shared" si="20"/>
        <v>#VALUE!</v>
      </c>
      <c r="L70" s="14" t="e">
        <f t="shared" si="21"/>
        <v>#VALUE!</v>
      </c>
      <c r="M70" s="14" t="e">
        <f t="shared" si="22"/>
        <v>#VALUE!</v>
      </c>
      <c r="N70" s="15" t="e">
        <f t="shared" si="23"/>
        <v>#VALUE!</v>
      </c>
      <c r="O70" s="36" t="e">
        <f t="shared" si="13"/>
        <v>#VALUE!</v>
      </c>
      <c r="P70" s="36" t="str">
        <f t="shared" si="14"/>
        <v xml:space="preserve"> </v>
      </c>
      <c r="Q70" s="36" t="e">
        <f>IF(ISBLANK(comexem)=TRUE,ROUND($K70/optioncom*1000,2),ROUND(($K70+$L70)/optioncomex*1000,2))</f>
        <v>#VALUE!</v>
      </c>
      <c r="R70" s="36" t="e">
        <f>IF(ISBLANK(comexem)=TRUE,ROUND($L70/optionind*1000,2),ROUND(($K70+$L70)/optioncomex*1000,2))</f>
        <v>#VALUE!</v>
      </c>
      <c r="S70" s="37" t="e">
        <f t="shared" si="15"/>
        <v>#VALUE!</v>
      </c>
    </row>
    <row r="71" spans="1:36">
      <c r="A71" s="222">
        <v>1.24</v>
      </c>
      <c r="B71" s="205" t="e">
        <f t="shared" si="16"/>
        <v>#VALUE!</v>
      </c>
      <c r="C71" s="34" t="e">
        <f t="shared" si="1"/>
        <v>#VALUE!</v>
      </c>
      <c r="D71" s="35" t="e">
        <f t="shared" si="2"/>
        <v>#VALUE!</v>
      </c>
      <c r="E71" s="35" t="e">
        <f t="shared" si="3"/>
        <v>#VALUE!</v>
      </c>
      <c r="F71" s="35" t="e">
        <f t="shared" si="4"/>
        <v>#VALUE!</v>
      </c>
      <c r="G71" s="35" t="e">
        <f t="shared" si="5"/>
        <v>#VALUE!</v>
      </c>
      <c r="H71" s="33" t="e">
        <f t="shared" si="17"/>
        <v>#VALUE!</v>
      </c>
      <c r="I71" s="13" t="e">
        <f t="shared" si="18"/>
        <v>#VALUE!</v>
      </c>
      <c r="J71" s="14" t="e">
        <f t="shared" si="19"/>
        <v>#VALUE!</v>
      </c>
      <c r="K71" s="14" t="e">
        <f t="shared" si="20"/>
        <v>#VALUE!</v>
      </c>
      <c r="L71" s="14" t="e">
        <f t="shared" si="21"/>
        <v>#VALUE!</v>
      </c>
      <c r="M71" s="14" t="e">
        <f t="shared" si="22"/>
        <v>#VALUE!</v>
      </c>
      <c r="N71" s="15" t="e">
        <f t="shared" si="23"/>
        <v>#VALUE!</v>
      </c>
      <c r="O71" s="36" t="e">
        <f t="shared" si="13"/>
        <v>#VALUE!</v>
      </c>
      <c r="P71" s="36" t="str">
        <f t="shared" si="14"/>
        <v xml:space="preserve"> </v>
      </c>
      <c r="Q71" s="36" t="e">
        <f>IF(ISBLANK(comexem)=TRUE,ROUND($K71/optioncom*1000,2),ROUND(($K71+$L71)/optioncomex*1000,2))</f>
        <v>#VALUE!</v>
      </c>
      <c r="R71" s="36" t="e">
        <f>IF(ISBLANK(comexem)=TRUE,ROUND($L71/optionind*1000,2),ROUND(($K71+$L71)/optioncomex*1000,2))</f>
        <v>#VALUE!</v>
      </c>
      <c r="S71" s="37" t="e">
        <f t="shared" si="15"/>
        <v>#VALUE!</v>
      </c>
    </row>
    <row r="72" spans="1:36">
      <c r="A72" s="222">
        <v>1.2450000000000001</v>
      </c>
      <c r="B72" s="205" t="e">
        <f t="shared" si="16"/>
        <v>#VALUE!</v>
      </c>
      <c r="C72" s="34" t="e">
        <f t="shared" si="1"/>
        <v>#VALUE!</v>
      </c>
      <c r="D72" s="35" t="e">
        <f t="shared" si="2"/>
        <v>#VALUE!</v>
      </c>
      <c r="E72" s="35" t="e">
        <f t="shared" si="3"/>
        <v>#VALUE!</v>
      </c>
      <c r="F72" s="35" t="e">
        <f t="shared" si="4"/>
        <v>#VALUE!</v>
      </c>
      <c r="G72" s="35" t="e">
        <f t="shared" si="5"/>
        <v>#VALUE!</v>
      </c>
      <c r="H72" s="33" t="e">
        <f t="shared" si="17"/>
        <v>#VALUE!</v>
      </c>
      <c r="I72" s="13" t="e">
        <f t="shared" si="18"/>
        <v>#VALUE!</v>
      </c>
      <c r="J72" s="14" t="e">
        <f t="shared" si="19"/>
        <v>#VALUE!</v>
      </c>
      <c r="K72" s="14" t="e">
        <f t="shared" si="20"/>
        <v>#VALUE!</v>
      </c>
      <c r="L72" s="14" t="e">
        <f t="shared" si="21"/>
        <v>#VALUE!</v>
      </c>
      <c r="M72" s="14" t="e">
        <f t="shared" si="22"/>
        <v>#VALUE!</v>
      </c>
      <c r="N72" s="15" t="e">
        <f t="shared" si="23"/>
        <v>#VALUE!</v>
      </c>
      <c r="O72" s="36" t="e">
        <f t="shared" si="13"/>
        <v>#VALUE!</v>
      </c>
      <c r="P72" s="36" t="str">
        <f t="shared" si="14"/>
        <v xml:space="preserve"> </v>
      </c>
      <c r="Q72" s="36" t="e">
        <f>IF(ISBLANK(comexem)=TRUE,ROUND($K72/optioncom*1000,2),ROUND(($K72+$L72)/optioncomex*1000,2))</f>
        <v>#VALUE!</v>
      </c>
      <c r="R72" s="36" t="e">
        <f>IF(ISBLANK(comexem)=TRUE,ROUND($L72/optionind*1000,2),ROUND(($K72+$L72)/optioncomex*1000,2))</f>
        <v>#VALUE!</v>
      </c>
      <c r="S72" s="37" t="e">
        <f t="shared" si="15"/>
        <v>#VALUE!</v>
      </c>
    </row>
    <row r="73" spans="1:36">
      <c r="A73" s="222">
        <v>1.25</v>
      </c>
      <c r="B73" s="205" t="e">
        <f t="shared" si="16"/>
        <v>#VALUE!</v>
      </c>
      <c r="C73" s="34" t="e">
        <f t="shared" si="1"/>
        <v>#VALUE!</v>
      </c>
      <c r="D73" s="35" t="e">
        <f t="shared" si="2"/>
        <v>#VALUE!</v>
      </c>
      <c r="E73" s="35" t="e">
        <f t="shared" si="3"/>
        <v>#VALUE!</v>
      </c>
      <c r="F73" s="35" t="e">
        <f t="shared" si="4"/>
        <v>#VALUE!</v>
      </c>
      <c r="G73" s="35" t="e">
        <f t="shared" si="5"/>
        <v>#VALUE!</v>
      </c>
      <c r="H73" s="33" t="e">
        <f t="shared" si="17"/>
        <v>#VALUE!</v>
      </c>
      <c r="I73" s="13" t="e">
        <f t="shared" si="18"/>
        <v>#VALUE!</v>
      </c>
      <c r="J73" s="14" t="e">
        <f t="shared" si="19"/>
        <v>#VALUE!</v>
      </c>
      <c r="K73" s="14" t="e">
        <f t="shared" si="20"/>
        <v>#VALUE!</v>
      </c>
      <c r="L73" s="14" t="e">
        <f t="shared" si="21"/>
        <v>#VALUE!</v>
      </c>
      <c r="M73" s="14" t="e">
        <f t="shared" si="22"/>
        <v>#VALUE!</v>
      </c>
      <c r="N73" s="15" t="e">
        <f t="shared" si="23"/>
        <v>#VALUE!</v>
      </c>
      <c r="O73" s="36" t="e">
        <f t="shared" si="13"/>
        <v>#VALUE!</v>
      </c>
      <c r="P73" s="36" t="str">
        <f t="shared" si="14"/>
        <v xml:space="preserve"> </v>
      </c>
      <c r="Q73" s="36" t="e">
        <f>IF(ISBLANK(comexem)=TRUE,ROUND($K73/optioncom*1000,2),ROUND(($K73+$L73)/optioncomex*1000,2))</f>
        <v>#VALUE!</v>
      </c>
      <c r="R73" s="36" t="e">
        <f>IF(ISBLANK(comexem)=TRUE,ROUND($L73/optionind*1000,2),ROUND(($K73+$L73)/optioncomex*1000,2))</f>
        <v>#VALUE!</v>
      </c>
      <c r="S73" s="37" t="e">
        <f t="shared" si="15"/>
        <v>#VALUE!</v>
      </c>
      <c r="AE73" s="55" t="s">
        <v>197</v>
      </c>
    </row>
    <row r="74" spans="1:36">
      <c r="A74" s="222">
        <v>1.2549999999999999</v>
      </c>
      <c r="B74" s="205" t="e">
        <f t="shared" si="16"/>
        <v>#VALUE!</v>
      </c>
      <c r="C74" s="34" t="e">
        <f t="shared" si="1"/>
        <v>#VALUE!</v>
      </c>
      <c r="D74" s="35" t="e">
        <f t="shared" si="2"/>
        <v>#VALUE!</v>
      </c>
      <c r="E74" s="35" t="e">
        <f t="shared" si="3"/>
        <v>#VALUE!</v>
      </c>
      <c r="F74" s="35" t="e">
        <f t="shared" si="4"/>
        <v>#VALUE!</v>
      </c>
      <c r="G74" s="35" t="e">
        <f t="shared" si="5"/>
        <v>#VALUE!</v>
      </c>
      <c r="H74" s="33" t="e">
        <f t="shared" si="17"/>
        <v>#VALUE!</v>
      </c>
      <c r="I74" s="13" t="e">
        <f t="shared" si="18"/>
        <v>#VALUE!</v>
      </c>
      <c r="J74" s="14" t="e">
        <f t="shared" si="19"/>
        <v>#VALUE!</v>
      </c>
      <c r="K74" s="14" t="e">
        <f t="shared" si="20"/>
        <v>#VALUE!</v>
      </c>
      <c r="L74" s="14" t="e">
        <f t="shared" si="21"/>
        <v>#VALUE!</v>
      </c>
      <c r="M74" s="14" t="e">
        <f t="shared" si="22"/>
        <v>#VALUE!</v>
      </c>
      <c r="N74" s="15" t="e">
        <f t="shared" si="23"/>
        <v>#VALUE!</v>
      </c>
      <c r="O74" s="36" t="e">
        <f t="shared" si="13"/>
        <v>#VALUE!</v>
      </c>
      <c r="P74" s="36" t="str">
        <f t="shared" si="14"/>
        <v xml:space="preserve"> </v>
      </c>
      <c r="Q74" s="36" t="e">
        <f>IF(ISBLANK(comexem)=TRUE,ROUND($K74/optioncom*1000,2),ROUND(($K74+$L74)/optioncomex*1000,2))</f>
        <v>#VALUE!</v>
      </c>
      <c r="R74" s="36" t="e">
        <f>IF(ISBLANK(comexem)=TRUE,ROUND($L74/optionind*1000,2),ROUND(($K74+$L74)/optioncomex*1000,2))</f>
        <v>#VALUE!</v>
      </c>
      <c r="S74" s="37" t="e">
        <f t="shared" si="15"/>
        <v>#VALUE!</v>
      </c>
      <c r="X74" s="55" t="s">
        <v>195</v>
      </c>
      <c r="AA74" s="177"/>
      <c r="AB74" s="177" t="s">
        <v>196</v>
      </c>
      <c r="AC74" s="177"/>
      <c r="AE74" s="55" t="s">
        <v>195</v>
      </c>
    </row>
    <row r="75" spans="1:36">
      <c r="A75" s="222">
        <v>1.26</v>
      </c>
      <c r="B75" s="205" t="e">
        <f t="shared" si="16"/>
        <v>#VALUE!</v>
      </c>
      <c r="C75" s="34" t="e">
        <f t="shared" si="1"/>
        <v>#VALUE!</v>
      </c>
      <c r="D75" s="35" t="e">
        <f t="shared" si="2"/>
        <v>#VALUE!</v>
      </c>
      <c r="E75" s="35" t="e">
        <f t="shared" si="3"/>
        <v>#VALUE!</v>
      </c>
      <c r="F75" s="35" t="e">
        <f t="shared" si="4"/>
        <v>#VALUE!</v>
      </c>
      <c r="G75" s="35" t="e">
        <f t="shared" si="5"/>
        <v>#VALUE!</v>
      </c>
      <c r="H75" s="33" t="e">
        <f t="shared" si="17"/>
        <v>#VALUE!</v>
      </c>
      <c r="I75" s="13" t="e">
        <f t="shared" si="18"/>
        <v>#VALUE!</v>
      </c>
      <c r="J75" s="14" t="e">
        <f t="shared" si="19"/>
        <v>#VALUE!</v>
      </c>
      <c r="K75" s="14" t="e">
        <f t="shared" si="20"/>
        <v>#VALUE!</v>
      </c>
      <c r="L75" s="14" t="e">
        <f t="shared" si="21"/>
        <v>#VALUE!</v>
      </c>
      <c r="M75" s="14" t="e">
        <f t="shared" si="22"/>
        <v>#VALUE!</v>
      </c>
      <c r="N75" s="15" t="e">
        <f t="shared" si="23"/>
        <v>#VALUE!</v>
      </c>
      <c r="O75" s="36" t="e">
        <f t="shared" si="13"/>
        <v>#VALUE!</v>
      </c>
      <c r="P75" s="36" t="str">
        <f t="shared" si="14"/>
        <v xml:space="preserve"> </v>
      </c>
      <c r="Q75" s="36" t="e">
        <f>IF(ISBLANK(comexem)=TRUE,ROUND($K75/optioncom*1000,2),ROUND(($K75+$L75)/optioncomex*1000,2))</f>
        <v>#VALUE!</v>
      </c>
      <c r="R75" s="36" t="e">
        <f>IF(ISBLANK(comexem)=TRUE,ROUND($L75/optionind*1000,2),ROUND(($K75+$L75)/optioncomex*1000,2))</f>
        <v>#VALUE!</v>
      </c>
      <c r="S75" s="37" t="e">
        <f t="shared" si="15"/>
        <v>#VALUE!</v>
      </c>
    </row>
    <row r="76" spans="1:36" ht="15.75">
      <c r="A76" s="222">
        <v>1.2649999999999999</v>
      </c>
      <c r="B76" s="205" t="e">
        <f t="shared" si="16"/>
        <v>#VALUE!</v>
      </c>
      <c r="C76" s="34" t="e">
        <f t="shared" si="1"/>
        <v>#VALUE!</v>
      </c>
      <c r="D76" s="35" t="e">
        <f t="shared" si="2"/>
        <v>#VALUE!</v>
      </c>
      <c r="E76" s="35" t="e">
        <f t="shared" si="3"/>
        <v>#VALUE!</v>
      </c>
      <c r="F76" s="35" t="e">
        <f t="shared" si="4"/>
        <v>#VALUE!</v>
      </c>
      <c r="G76" s="35" t="e">
        <f t="shared" si="5"/>
        <v>#VALUE!</v>
      </c>
      <c r="H76" s="33" t="e">
        <f t="shared" si="17"/>
        <v>#VALUE!</v>
      </c>
      <c r="I76" s="13" t="e">
        <f t="shared" si="18"/>
        <v>#VALUE!</v>
      </c>
      <c r="J76" s="14" t="e">
        <f t="shared" si="19"/>
        <v>#VALUE!</v>
      </c>
      <c r="K76" s="14" t="e">
        <f t="shared" si="20"/>
        <v>#VALUE!</v>
      </c>
      <c r="L76" s="14" t="e">
        <f t="shared" si="21"/>
        <v>#VALUE!</v>
      </c>
      <c r="M76" s="14" t="e">
        <f t="shared" si="22"/>
        <v>#VALUE!</v>
      </c>
      <c r="N76" s="15" t="e">
        <f t="shared" si="23"/>
        <v>#VALUE!</v>
      </c>
      <c r="O76" s="36" t="e">
        <f t="shared" si="13"/>
        <v>#VALUE!</v>
      </c>
      <c r="P76" s="36" t="str">
        <f t="shared" si="14"/>
        <v xml:space="preserve"> </v>
      </c>
      <c r="Q76" s="36" t="e">
        <f>IF(ISBLANK(comexem)=TRUE,ROUND($K76/optioncom*1000,2),ROUND(($K76+$L76)/optioncomex*1000,2))</f>
        <v>#VALUE!</v>
      </c>
      <c r="R76" s="36" t="e">
        <f>IF(ISBLANK(comexem)=TRUE,ROUND($L76/optionind*1000,2),ROUND(($K76+$L76)/optioncomex*1000,2))</f>
        <v>#VALUE!</v>
      </c>
      <c r="S76" s="37" t="e">
        <f t="shared" si="15"/>
        <v>#VALUE!</v>
      </c>
      <c r="W76" s="305" t="s">
        <v>188</v>
      </c>
      <c r="X76" s="306"/>
      <c r="Y76" s="178" t="e">
        <f>VLOOKUP(I14,tableabc,3)</f>
        <v>#VALUE!</v>
      </c>
      <c r="Z76" s="179" t="e">
        <f>ROUND(Y76,4)/100</f>
        <v>#VALUE!</v>
      </c>
      <c r="AA76" s="178" t="e">
        <f>VLOOKUP(I14,tableabc,3)</f>
        <v>#VALUE!</v>
      </c>
      <c r="AB76" s="180" t="str">
        <f>optionrespct</f>
        <v/>
      </c>
      <c r="AC76" s="179" t="e">
        <f>ROUND(AA76,4)/100</f>
        <v>#VALUE!</v>
      </c>
      <c r="AE76" s="6" t="e">
        <f>VLOOKUP(shiftper,tableabc,15)</f>
        <v>#VALUE!</v>
      </c>
      <c r="AF76" s="55" t="e">
        <f>nshiftr</f>
        <v>#VALUE!</v>
      </c>
      <c r="AG76" s="11" t="s">
        <v>235</v>
      </c>
      <c r="AH76" s="11" t="s">
        <v>156</v>
      </c>
      <c r="AI76" s="11" t="e">
        <f>IF(shiftper=1,nshiftr,ShiftRateRes)</f>
        <v>#VALUE!</v>
      </c>
      <c r="AJ76" s="11" t="s">
        <v>244</v>
      </c>
    </row>
    <row r="77" spans="1:36" ht="15.75">
      <c r="A77" s="222">
        <v>1.27</v>
      </c>
      <c r="B77" s="205" t="e">
        <f t="shared" si="16"/>
        <v>#VALUE!</v>
      </c>
      <c r="C77" s="34" t="e">
        <f t="shared" si="1"/>
        <v>#VALUE!</v>
      </c>
      <c r="D77" s="35" t="e">
        <f t="shared" si="2"/>
        <v>#VALUE!</v>
      </c>
      <c r="E77" s="35" t="e">
        <f t="shared" si="3"/>
        <v>#VALUE!</v>
      </c>
      <c r="F77" s="35" t="e">
        <f t="shared" si="4"/>
        <v>#VALUE!</v>
      </c>
      <c r="G77" s="35" t="e">
        <f t="shared" si="5"/>
        <v>#VALUE!</v>
      </c>
      <c r="H77" s="33" t="e">
        <f t="shared" si="17"/>
        <v>#VALUE!</v>
      </c>
      <c r="I77" s="13" t="e">
        <f t="shared" si="18"/>
        <v>#VALUE!</v>
      </c>
      <c r="J77" s="14" t="e">
        <f t="shared" si="19"/>
        <v>#VALUE!</v>
      </c>
      <c r="K77" s="14" t="e">
        <f t="shared" si="20"/>
        <v>#VALUE!</v>
      </c>
      <c r="L77" s="14" t="e">
        <f t="shared" si="21"/>
        <v>#VALUE!</v>
      </c>
      <c r="M77" s="14" t="e">
        <f t="shared" si="22"/>
        <v>#VALUE!</v>
      </c>
      <c r="N77" s="15" t="e">
        <f t="shared" si="23"/>
        <v>#VALUE!</v>
      </c>
      <c r="O77" s="36" t="e">
        <f t="shared" si="13"/>
        <v>#VALUE!</v>
      </c>
      <c r="P77" s="36" t="str">
        <f t="shared" si="14"/>
        <v xml:space="preserve"> </v>
      </c>
      <c r="Q77" s="36" t="e">
        <f>IF(ISBLANK(comexem)=TRUE,ROUND($K77/optioncom*1000,2),ROUND(($K77+$L77)/optioncomex*1000,2))</f>
        <v>#VALUE!</v>
      </c>
      <c r="R77" s="36" t="e">
        <f>IF(ISBLANK(comexem)=TRUE,ROUND($L77/optionind*1000,2),ROUND(($K77+$L77)/optioncomex*1000,2))</f>
        <v>#VALUE!</v>
      </c>
      <c r="S77" s="37" t="e">
        <f t="shared" si="15"/>
        <v>#VALUE!</v>
      </c>
      <c r="W77" s="305" t="s">
        <v>189</v>
      </c>
      <c r="X77" s="306"/>
      <c r="Y77" s="178" t="e">
        <f>VLOOKUP(I14,tableabc,4)</f>
        <v>#VALUE!</v>
      </c>
      <c r="Z77" s="179" t="e">
        <f>ROUND(Y77,4)/100</f>
        <v>#VALUE!</v>
      </c>
      <c r="AA77" s="178" t="e">
        <f>VLOOKUP(I14,tableabc,4)</f>
        <v>#VALUE!</v>
      </c>
      <c r="AB77" s="181" t="str">
        <f>optionospct</f>
        <v/>
      </c>
      <c r="AC77" s="182" t="e">
        <f>ROUND(AA77,4)</f>
        <v>#VALUE!</v>
      </c>
      <c r="AE77" s="6" t="str">
        <f>VLOOKUP(shiftper,tableabc,16)</f>
        <v xml:space="preserve"> </v>
      </c>
      <c r="AF77" s="55" t="str">
        <f>nshiftos</f>
        <v/>
      </c>
      <c r="AG77" s="11" t="s">
        <v>236</v>
      </c>
      <c r="AH77" s="11" t="s">
        <v>237</v>
      </c>
    </row>
    <row r="78" spans="1:36">
      <c r="A78" s="222">
        <v>1.2749999999999999</v>
      </c>
      <c r="B78" s="205" t="e">
        <f t="shared" si="16"/>
        <v>#VALUE!</v>
      </c>
      <c r="C78" s="34" t="e">
        <f t="shared" si="1"/>
        <v>#VALUE!</v>
      </c>
      <c r="D78" s="35" t="e">
        <f t="shared" si="2"/>
        <v>#VALUE!</v>
      </c>
      <c r="E78" s="35" t="e">
        <f t="shared" si="3"/>
        <v>#VALUE!</v>
      </c>
      <c r="F78" s="35" t="e">
        <f t="shared" si="4"/>
        <v>#VALUE!</v>
      </c>
      <c r="G78" s="35" t="e">
        <f t="shared" si="5"/>
        <v>#VALUE!</v>
      </c>
      <c r="H78" s="33" t="e">
        <f t="shared" si="17"/>
        <v>#VALUE!</v>
      </c>
      <c r="I78" s="13" t="e">
        <f t="shared" si="18"/>
        <v>#VALUE!</v>
      </c>
      <c r="J78" s="14" t="e">
        <f t="shared" si="19"/>
        <v>#VALUE!</v>
      </c>
      <c r="K78" s="14" t="e">
        <f t="shared" si="20"/>
        <v>#VALUE!</v>
      </c>
      <c r="L78" s="14" t="e">
        <f t="shared" si="21"/>
        <v>#VALUE!</v>
      </c>
      <c r="M78" s="14" t="e">
        <f t="shared" si="22"/>
        <v>#VALUE!</v>
      </c>
      <c r="N78" s="15" t="e">
        <f t="shared" si="23"/>
        <v>#VALUE!</v>
      </c>
      <c r="O78" s="36" t="e">
        <f t="shared" si="13"/>
        <v>#VALUE!</v>
      </c>
      <c r="P78" s="36" t="str">
        <f t="shared" si="14"/>
        <v xml:space="preserve"> </v>
      </c>
      <c r="Q78" s="36" t="e">
        <f>IF(ISBLANK(comexem)=TRUE,ROUND($K78/optioncom*1000,2),ROUND(($K78+$L78)/optioncomex*1000,2))</f>
        <v>#VALUE!</v>
      </c>
      <c r="R78" s="36" t="e">
        <f>IF(ISBLANK(comexem)=TRUE,ROUND($L78/optionind*1000,2),ROUND(($K78+$L78)/optioncomex*1000,2))</f>
        <v>#VALUE!</v>
      </c>
      <c r="S78" s="37" t="e">
        <f t="shared" si="15"/>
        <v>#VALUE!</v>
      </c>
      <c r="W78" s="307"/>
      <c r="X78" s="307"/>
      <c r="Y78" s="312"/>
      <c r="AA78" s="312"/>
      <c r="AB78" s="182"/>
      <c r="AC78" s="182"/>
      <c r="AE78" s="6" t="e">
        <f>VLOOKUP(shiftper,tableabc,17)</f>
        <v>#VALUE!</v>
      </c>
      <c r="AF78" s="55" t="e">
        <f>nshiftcom</f>
        <v>#VALUE!</v>
      </c>
      <c r="AG78" s="11" t="s">
        <v>242</v>
      </c>
      <c r="AH78" s="11" t="s">
        <v>238</v>
      </c>
      <c r="AI78" s="11" t="e">
        <f>IF(shiftper=1,nshiftcom,shiftRateCom)</f>
        <v>#VALUE!</v>
      </c>
      <c r="AJ78" s="11" t="s">
        <v>245</v>
      </c>
    </row>
    <row r="79" spans="1:36">
      <c r="A79" s="222">
        <v>1.28</v>
      </c>
      <c r="B79" s="205" t="e">
        <f t="shared" si="16"/>
        <v>#VALUE!</v>
      </c>
      <c r="C79" s="34" t="e">
        <f t="shared" si="1"/>
        <v>#VALUE!</v>
      </c>
      <c r="D79" s="35" t="e">
        <f t="shared" si="2"/>
        <v>#VALUE!</v>
      </c>
      <c r="E79" s="35" t="e">
        <f t="shared" si="3"/>
        <v>#VALUE!</v>
      </c>
      <c r="F79" s="35" t="e">
        <f t="shared" si="4"/>
        <v>#VALUE!</v>
      </c>
      <c r="G79" s="35" t="e">
        <f t="shared" si="5"/>
        <v>#VALUE!</v>
      </c>
      <c r="H79" s="33" t="e">
        <f t="shared" si="17"/>
        <v>#VALUE!</v>
      </c>
      <c r="I79" s="13" t="e">
        <f t="shared" si="18"/>
        <v>#VALUE!</v>
      </c>
      <c r="J79" s="14" t="e">
        <f t="shared" si="19"/>
        <v>#VALUE!</v>
      </c>
      <c r="K79" s="14" t="e">
        <f t="shared" si="20"/>
        <v>#VALUE!</v>
      </c>
      <c r="L79" s="14" t="e">
        <f t="shared" si="21"/>
        <v>#VALUE!</v>
      </c>
      <c r="M79" s="14" t="e">
        <f t="shared" si="22"/>
        <v>#VALUE!</v>
      </c>
      <c r="N79" s="15" t="e">
        <f t="shared" si="23"/>
        <v>#VALUE!</v>
      </c>
      <c r="O79" s="36" t="e">
        <f t="shared" si="13"/>
        <v>#VALUE!</v>
      </c>
      <c r="P79" s="36" t="str">
        <f t="shared" si="14"/>
        <v xml:space="preserve"> </v>
      </c>
      <c r="Q79" s="36" t="e">
        <f>IF(ISBLANK(comexem)=TRUE,ROUND($K79/optioncom*1000,2),ROUND(($K79+$L79)/optioncomex*1000,2))</f>
        <v>#VALUE!</v>
      </c>
      <c r="R79" s="36" t="e">
        <f>IF(ISBLANK(comexem)=TRUE,ROUND($L79/optionind*1000,2),ROUND(($K79+$L79)/optioncomex*1000,2))</f>
        <v>#VALUE!</v>
      </c>
      <c r="S79" s="37" t="e">
        <f t="shared" si="15"/>
        <v>#VALUE!</v>
      </c>
      <c r="W79" s="308"/>
      <c r="X79" s="308"/>
      <c r="Y79" s="313"/>
      <c r="AA79" s="313"/>
      <c r="AB79" s="182"/>
      <c r="AC79" s="182"/>
      <c r="AE79" s="6" t="e">
        <f>VLOOKUP(shiftper,tableabc,18)</f>
        <v>#VALUE!</v>
      </c>
      <c r="AF79" s="55" t="e">
        <f>nshiftind</f>
        <v>#VALUE!</v>
      </c>
      <c r="AG79" s="11" t="s">
        <v>239</v>
      </c>
      <c r="AH79" s="11" t="s">
        <v>159</v>
      </c>
    </row>
    <row r="80" spans="1:36" ht="15.75">
      <c r="A80" s="222">
        <v>1.2849999999999999</v>
      </c>
      <c r="B80" s="205" t="e">
        <f t="shared" si="16"/>
        <v>#VALUE!</v>
      </c>
      <c r="C80" s="34" t="e">
        <f t="shared" si="1"/>
        <v>#VALUE!</v>
      </c>
      <c r="D80" s="35" t="e">
        <f t="shared" si="2"/>
        <v>#VALUE!</v>
      </c>
      <c r="E80" s="35" t="e">
        <f t="shared" si="3"/>
        <v>#VALUE!</v>
      </c>
      <c r="F80" s="35" t="e">
        <f t="shared" si="4"/>
        <v>#VALUE!</v>
      </c>
      <c r="G80" s="35" t="e">
        <f t="shared" si="5"/>
        <v>#VALUE!</v>
      </c>
      <c r="H80" s="33" t="e">
        <f t="shared" si="17"/>
        <v>#VALUE!</v>
      </c>
      <c r="I80" s="13" t="e">
        <f t="shared" si="18"/>
        <v>#VALUE!</v>
      </c>
      <c r="J80" s="14" t="e">
        <f t="shared" si="19"/>
        <v>#VALUE!</v>
      </c>
      <c r="K80" s="14" t="e">
        <f t="shared" si="20"/>
        <v>#VALUE!</v>
      </c>
      <c r="L80" s="14" t="e">
        <f t="shared" si="21"/>
        <v>#VALUE!</v>
      </c>
      <c r="M80" s="14" t="e">
        <f t="shared" si="22"/>
        <v>#VALUE!</v>
      </c>
      <c r="N80" s="15" t="e">
        <f t="shared" si="23"/>
        <v>#VALUE!</v>
      </c>
      <c r="O80" s="36" t="e">
        <f t="shared" si="13"/>
        <v>#VALUE!</v>
      </c>
      <c r="P80" s="36" t="str">
        <f t="shared" si="14"/>
        <v xml:space="preserve"> </v>
      </c>
      <c r="Q80" s="36" t="e">
        <f>IF(ISBLANK(comexem)=TRUE,ROUND($K80/optioncom*1000,2),ROUND(($K80+$L80)/optioncomex*1000,2))</f>
        <v>#VALUE!</v>
      </c>
      <c r="R80" s="36" t="e">
        <f>IF(ISBLANK(comexem)=TRUE,ROUND($L80/optionind*1000,2),ROUND(($K80+$L80)/optioncomex*1000,2))</f>
        <v>#VALUE!</v>
      </c>
      <c r="S80" s="37" t="e">
        <f t="shared" si="15"/>
        <v>#VALUE!</v>
      </c>
      <c r="W80" s="305" t="s">
        <v>190</v>
      </c>
      <c r="X80" s="309"/>
      <c r="Y80" s="178" t="e">
        <f>VLOOKUP(I14,tableabc,5)</f>
        <v>#VALUE!</v>
      </c>
      <c r="Z80" s="179" t="e">
        <f>ROUND(Y80,4)/100</f>
        <v>#VALUE!</v>
      </c>
      <c r="AA80" s="178" t="e">
        <f>VLOOKUP(I14,tableabc,5)</f>
        <v>#VALUE!</v>
      </c>
      <c r="AB80" s="181" t="str">
        <f>optioncompct</f>
        <v/>
      </c>
      <c r="AC80" s="182" t="e">
        <f>ROUND(AA80,4)</f>
        <v>#VALUE!</v>
      </c>
      <c r="AE80" s="6" t="e">
        <f>VLOOKUP(shiftper,tableabc,19)</f>
        <v>#VALUE!</v>
      </c>
      <c r="AF80" s="55" t="e">
        <f>nshiftper</f>
        <v>#VALUE!</v>
      </c>
      <c r="AG80" s="11" t="s">
        <v>240</v>
      </c>
      <c r="AH80" s="11" t="s">
        <v>243</v>
      </c>
    </row>
    <row r="81" spans="1:34" ht="15.75">
      <c r="A81" s="222">
        <v>1.29</v>
      </c>
      <c r="B81" s="205" t="e">
        <f t="shared" si="16"/>
        <v>#VALUE!</v>
      </c>
      <c r="C81" s="34" t="e">
        <f t="shared" si="1"/>
        <v>#VALUE!</v>
      </c>
      <c r="D81" s="35" t="e">
        <f t="shared" si="2"/>
        <v>#VALUE!</v>
      </c>
      <c r="E81" s="35" t="e">
        <f t="shared" si="3"/>
        <v>#VALUE!</v>
      </c>
      <c r="F81" s="35" t="e">
        <f t="shared" si="4"/>
        <v>#VALUE!</v>
      </c>
      <c r="G81" s="35" t="e">
        <f t="shared" si="5"/>
        <v>#VALUE!</v>
      </c>
      <c r="H81" s="33" t="e">
        <f t="shared" si="17"/>
        <v>#VALUE!</v>
      </c>
      <c r="I81" s="13" t="e">
        <f t="shared" si="18"/>
        <v>#VALUE!</v>
      </c>
      <c r="J81" s="14" t="e">
        <f t="shared" si="19"/>
        <v>#VALUE!</v>
      </c>
      <c r="K81" s="14" t="e">
        <f t="shared" si="20"/>
        <v>#VALUE!</v>
      </c>
      <c r="L81" s="14" t="e">
        <f t="shared" si="21"/>
        <v>#VALUE!</v>
      </c>
      <c r="M81" s="14" t="e">
        <f t="shared" si="22"/>
        <v>#VALUE!</v>
      </c>
      <c r="N81" s="15" t="e">
        <f t="shared" si="23"/>
        <v>#VALUE!</v>
      </c>
      <c r="O81" s="36" t="e">
        <f t="shared" si="13"/>
        <v>#VALUE!</v>
      </c>
      <c r="P81" s="36" t="str">
        <f t="shared" si="14"/>
        <v xml:space="preserve"> </v>
      </c>
      <c r="Q81" s="36" t="e">
        <f>IF(ISBLANK(comexem)=TRUE,ROUND($K81/optioncom*1000,2),ROUND(($K81+$L81)/optioncomex*1000,2))</f>
        <v>#VALUE!</v>
      </c>
      <c r="R81" s="36" t="e">
        <f>IF(ISBLANK(comexem)=TRUE,ROUND($L81/optionind*1000,2),ROUND(($K81+$L81)/optioncomex*1000,2))</f>
        <v>#VALUE!</v>
      </c>
      <c r="S81" s="37" t="e">
        <f t="shared" si="15"/>
        <v>#VALUE!</v>
      </c>
      <c r="W81" s="305" t="s">
        <v>191</v>
      </c>
      <c r="X81" s="306"/>
      <c r="Y81" s="178" t="e">
        <f>VLOOKUP(I14,tableabc,6)</f>
        <v>#VALUE!</v>
      </c>
      <c r="Z81" s="179" t="e">
        <f>ROUND(Y81,4)/100</f>
        <v>#VALUE!</v>
      </c>
      <c r="AA81" s="178" t="e">
        <f>VLOOKUP(I14,tableabc,6)</f>
        <v>#VALUE!</v>
      </c>
      <c r="AB81" s="181" t="str">
        <f>optionindpct</f>
        <v/>
      </c>
      <c r="AC81" s="182" t="e">
        <f>ROUND(AA81,4)</f>
        <v>#VALUE!</v>
      </c>
    </row>
    <row r="82" spans="1:34" ht="15.75">
      <c r="A82" s="222">
        <v>1.2949999999999999</v>
      </c>
      <c r="B82" s="205" t="e">
        <f t="shared" si="16"/>
        <v>#VALUE!</v>
      </c>
      <c r="C82" s="34" t="e">
        <f t="shared" si="1"/>
        <v>#VALUE!</v>
      </c>
      <c r="D82" s="35" t="e">
        <f t="shared" si="2"/>
        <v>#VALUE!</v>
      </c>
      <c r="E82" s="35" t="e">
        <f t="shared" si="3"/>
        <v>#VALUE!</v>
      </c>
      <c r="F82" s="35" t="e">
        <f t="shared" si="4"/>
        <v>#VALUE!</v>
      </c>
      <c r="G82" s="35" t="e">
        <f t="shared" si="5"/>
        <v>#VALUE!</v>
      </c>
      <c r="H82" s="33" t="e">
        <f t="shared" si="17"/>
        <v>#VALUE!</v>
      </c>
      <c r="I82" s="13" t="e">
        <f t="shared" si="18"/>
        <v>#VALUE!</v>
      </c>
      <c r="J82" s="14" t="e">
        <f t="shared" si="19"/>
        <v>#VALUE!</v>
      </c>
      <c r="K82" s="14" t="e">
        <f t="shared" si="20"/>
        <v>#VALUE!</v>
      </c>
      <c r="L82" s="14" t="e">
        <f t="shared" si="21"/>
        <v>#VALUE!</v>
      </c>
      <c r="M82" s="14" t="e">
        <f t="shared" si="22"/>
        <v>#VALUE!</v>
      </c>
      <c r="N82" s="15" t="e">
        <f t="shared" si="23"/>
        <v>#VALUE!</v>
      </c>
      <c r="O82" s="36" t="e">
        <f t="shared" si="13"/>
        <v>#VALUE!</v>
      </c>
      <c r="P82" s="36" t="str">
        <f t="shared" si="14"/>
        <v xml:space="preserve"> </v>
      </c>
      <c r="Q82" s="36" t="e">
        <f>IF(ISBLANK(comexem)=TRUE,ROUND($K82/optioncom*1000,2),ROUND(($K82+$L82)/optioncomex*1000,2))</f>
        <v>#VALUE!</v>
      </c>
      <c r="R82" s="36" t="e">
        <f>IF(ISBLANK(comexem)=TRUE,ROUND($L82/optionind*1000,2),ROUND(($K82+$L82)/optioncomex*1000,2))</f>
        <v>#VALUE!</v>
      </c>
      <c r="S82" s="37" t="e">
        <f t="shared" si="15"/>
        <v>#VALUE!</v>
      </c>
      <c r="W82" s="305" t="s">
        <v>192</v>
      </c>
      <c r="X82" s="306"/>
      <c r="Y82" s="178" t="e">
        <f>VLOOKUP(I14,tableabc,7)</f>
        <v>#VALUE!</v>
      </c>
      <c r="Z82" s="179" t="e">
        <f>ROUND(Y82,4)/100</f>
        <v>#VALUE!</v>
      </c>
      <c r="AA82" s="178" t="e">
        <f>VLOOKUP(I14,tableabc,7)</f>
        <v>#VALUE!</v>
      </c>
      <c r="AB82" s="181" t="str">
        <f>optionpppct</f>
        <v/>
      </c>
      <c r="AC82" s="182" t="e">
        <f>ROUND(AA82,4)</f>
        <v>#VALUE!</v>
      </c>
      <c r="AG82"/>
      <c r="AH82"/>
    </row>
    <row r="83" spans="1:34">
      <c r="A83" s="222">
        <v>1.3</v>
      </c>
      <c r="B83" s="205" t="e">
        <f t="shared" si="16"/>
        <v>#VALUE!</v>
      </c>
      <c r="C83" s="34" t="e">
        <f t="shared" si="1"/>
        <v>#VALUE!</v>
      </c>
      <c r="D83" s="35" t="e">
        <f t="shared" si="2"/>
        <v>#VALUE!</v>
      </c>
      <c r="E83" s="35" t="e">
        <f t="shared" si="3"/>
        <v>#VALUE!</v>
      </c>
      <c r="F83" s="35" t="e">
        <f t="shared" si="4"/>
        <v>#VALUE!</v>
      </c>
      <c r="G83" s="35" t="e">
        <f t="shared" si="5"/>
        <v>#VALUE!</v>
      </c>
      <c r="H83" s="33" t="e">
        <f t="shared" si="17"/>
        <v>#VALUE!</v>
      </c>
      <c r="I83" s="13" t="e">
        <f t="shared" si="18"/>
        <v>#VALUE!</v>
      </c>
      <c r="J83" s="14" t="e">
        <f t="shared" si="19"/>
        <v>#VALUE!</v>
      </c>
      <c r="K83" s="14" t="e">
        <f t="shared" si="20"/>
        <v>#VALUE!</v>
      </c>
      <c r="L83" s="14" t="e">
        <f t="shared" si="21"/>
        <v>#VALUE!</v>
      </c>
      <c r="M83" s="14" t="e">
        <f t="shared" si="22"/>
        <v>#VALUE!</v>
      </c>
      <c r="N83" s="15" t="e">
        <f t="shared" si="23"/>
        <v>#VALUE!</v>
      </c>
      <c r="O83" s="36" t="e">
        <f t="shared" si="13"/>
        <v>#VALUE!</v>
      </c>
      <c r="P83" s="36" t="str">
        <f t="shared" si="14"/>
        <v xml:space="preserve"> </v>
      </c>
      <c r="Q83" s="36" t="e">
        <f>IF(ISBLANK(comexem)=TRUE,ROUND($K83/optioncom*1000,2),ROUND(($K83+$L83)/optioncomex*1000,2))</f>
        <v>#VALUE!</v>
      </c>
      <c r="R83" s="36" t="e">
        <f>IF(ISBLANK(comexem)=TRUE,ROUND($L83/optionind*1000,2),ROUND(($K83+$L83)/optioncomex*1000,2))</f>
        <v>#VALUE!</v>
      </c>
      <c r="S83" s="37" t="e">
        <f t="shared" si="15"/>
        <v>#VALUE!</v>
      </c>
    </row>
    <row r="84" spans="1:34">
      <c r="A84" s="222">
        <v>1.3049999999999999</v>
      </c>
      <c r="B84" s="205" t="e">
        <f t="shared" si="16"/>
        <v>#VALUE!</v>
      </c>
      <c r="C84" s="34" t="e">
        <f t="shared" si="1"/>
        <v>#VALUE!</v>
      </c>
      <c r="D84" s="35" t="e">
        <f t="shared" si="2"/>
        <v>#VALUE!</v>
      </c>
      <c r="E84" s="35" t="e">
        <f t="shared" si="3"/>
        <v>#VALUE!</v>
      </c>
      <c r="F84" s="35" t="e">
        <f t="shared" si="4"/>
        <v>#VALUE!</v>
      </c>
      <c r="G84" s="35" t="e">
        <f t="shared" si="5"/>
        <v>#VALUE!</v>
      </c>
      <c r="H84" s="33" t="e">
        <f t="shared" si="17"/>
        <v>#VALUE!</v>
      </c>
      <c r="I84" s="13" t="e">
        <f t="shared" si="18"/>
        <v>#VALUE!</v>
      </c>
      <c r="J84" s="14" t="e">
        <f t="shared" si="19"/>
        <v>#VALUE!</v>
      </c>
      <c r="K84" s="14" t="e">
        <f t="shared" si="20"/>
        <v>#VALUE!</v>
      </c>
      <c r="L84" s="14" t="e">
        <f t="shared" si="21"/>
        <v>#VALUE!</v>
      </c>
      <c r="M84" s="14" t="e">
        <f t="shared" si="22"/>
        <v>#VALUE!</v>
      </c>
      <c r="N84" s="15" t="e">
        <f t="shared" si="23"/>
        <v>#VALUE!</v>
      </c>
      <c r="O84" s="36" t="e">
        <f t="shared" si="13"/>
        <v>#VALUE!</v>
      </c>
      <c r="P84" s="36" t="str">
        <f t="shared" si="14"/>
        <v xml:space="preserve"> </v>
      </c>
      <c r="Q84" s="36" t="e">
        <f>IF(ISBLANK(comexem)=TRUE,ROUND($K84/optioncom*1000,2),ROUND(($K84+$L84)/optioncomex*1000,2))</f>
        <v>#VALUE!</v>
      </c>
      <c r="R84" s="36" t="e">
        <f>IF(ISBLANK(comexem)=TRUE,ROUND($L84/optionind*1000,2),ROUND(($K84+$L84)/optioncomex*1000,2))</f>
        <v>#VALUE!</v>
      </c>
      <c r="S84" s="37" t="e">
        <f t="shared" si="15"/>
        <v>#VALUE!</v>
      </c>
    </row>
    <row r="85" spans="1:34">
      <c r="A85" s="222">
        <v>1.31</v>
      </c>
      <c r="B85" s="205" t="e">
        <f t="shared" si="16"/>
        <v>#VALUE!</v>
      </c>
      <c r="C85" s="34" t="e">
        <f t="shared" si="1"/>
        <v>#VALUE!</v>
      </c>
      <c r="D85" s="35" t="e">
        <f t="shared" si="2"/>
        <v>#VALUE!</v>
      </c>
      <c r="E85" s="35" t="e">
        <f t="shared" si="3"/>
        <v>#VALUE!</v>
      </c>
      <c r="F85" s="35" t="e">
        <f t="shared" si="4"/>
        <v>#VALUE!</v>
      </c>
      <c r="G85" s="35" t="e">
        <f t="shared" si="5"/>
        <v>#VALUE!</v>
      </c>
      <c r="H85" s="33" t="e">
        <f t="shared" si="17"/>
        <v>#VALUE!</v>
      </c>
      <c r="I85" s="13" t="e">
        <f t="shared" si="18"/>
        <v>#VALUE!</v>
      </c>
      <c r="J85" s="14" t="e">
        <f t="shared" si="19"/>
        <v>#VALUE!</v>
      </c>
      <c r="K85" s="14" t="e">
        <f t="shared" si="20"/>
        <v>#VALUE!</v>
      </c>
      <c r="L85" s="14" t="e">
        <f t="shared" si="21"/>
        <v>#VALUE!</v>
      </c>
      <c r="M85" s="14" t="e">
        <f t="shared" si="22"/>
        <v>#VALUE!</v>
      </c>
      <c r="N85" s="15" t="e">
        <f t="shared" si="23"/>
        <v>#VALUE!</v>
      </c>
      <c r="O85" s="36" t="e">
        <f t="shared" si="13"/>
        <v>#VALUE!</v>
      </c>
      <c r="P85" s="36" t="str">
        <f t="shared" si="14"/>
        <v xml:space="preserve"> </v>
      </c>
      <c r="Q85" s="36" t="e">
        <f>IF(ISBLANK(comexem)=TRUE,ROUND($K85/optioncom*1000,2),ROUND(($K85+$L85)/optioncomex*1000,2))</f>
        <v>#VALUE!</v>
      </c>
      <c r="R85" s="36" t="e">
        <f>IF(ISBLANK(comexem)=TRUE,ROUND($L85/optionind*1000,2),ROUND(($K85+$L85)/optioncomex*1000,2))</f>
        <v>#VALUE!</v>
      </c>
      <c r="S85" s="37" t="e">
        <f t="shared" si="15"/>
        <v>#VALUE!</v>
      </c>
    </row>
    <row r="86" spans="1:34">
      <c r="A86" s="222">
        <v>1.3149999999999999</v>
      </c>
      <c r="B86" s="205" t="e">
        <f t="shared" si="16"/>
        <v>#VALUE!</v>
      </c>
      <c r="C86" s="34" t="e">
        <f t="shared" si="1"/>
        <v>#VALUE!</v>
      </c>
      <c r="D86" s="35" t="e">
        <f t="shared" si="2"/>
        <v>#VALUE!</v>
      </c>
      <c r="E86" s="35" t="e">
        <f t="shared" si="3"/>
        <v>#VALUE!</v>
      </c>
      <c r="F86" s="35" t="e">
        <f t="shared" si="4"/>
        <v>#VALUE!</v>
      </c>
      <c r="G86" s="35" t="e">
        <f t="shared" si="5"/>
        <v>#VALUE!</v>
      </c>
      <c r="H86" s="33" t="e">
        <f t="shared" si="17"/>
        <v>#VALUE!</v>
      </c>
      <c r="I86" s="13" t="e">
        <f t="shared" si="18"/>
        <v>#VALUE!</v>
      </c>
      <c r="J86" s="14" t="e">
        <f t="shared" si="19"/>
        <v>#VALUE!</v>
      </c>
      <c r="K86" s="14" t="e">
        <f t="shared" si="20"/>
        <v>#VALUE!</v>
      </c>
      <c r="L86" s="14" t="e">
        <f t="shared" si="21"/>
        <v>#VALUE!</v>
      </c>
      <c r="M86" s="14" t="e">
        <f t="shared" si="22"/>
        <v>#VALUE!</v>
      </c>
      <c r="N86" s="15" t="e">
        <f t="shared" si="23"/>
        <v>#VALUE!</v>
      </c>
      <c r="O86" s="36" t="e">
        <f t="shared" si="13"/>
        <v>#VALUE!</v>
      </c>
      <c r="P86" s="36" t="str">
        <f t="shared" si="14"/>
        <v xml:space="preserve"> </v>
      </c>
      <c r="Q86" s="36" t="e">
        <f>IF(ISBLANK(comexem)=TRUE,ROUND($K86/optioncom*1000,2),ROUND(($K86+$L86)/optioncomex*1000,2))</f>
        <v>#VALUE!</v>
      </c>
      <c r="R86" s="36" t="e">
        <f>IF(ISBLANK(comexem)=TRUE,ROUND($L86/optionind*1000,2),ROUND(($K86+$L86)/optioncomex*1000,2))</f>
        <v>#VALUE!</v>
      </c>
      <c r="S86" s="37" t="e">
        <f t="shared" si="15"/>
        <v>#VALUE!</v>
      </c>
    </row>
    <row r="87" spans="1:34">
      <c r="A87" s="222">
        <v>1.32</v>
      </c>
      <c r="B87" s="205" t="e">
        <f t="shared" si="16"/>
        <v>#VALUE!</v>
      </c>
      <c r="C87" s="34" t="e">
        <f t="shared" ref="C87:C150" si="24">$B87*optionrespct</f>
        <v>#VALUE!</v>
      </c>
      <c r="D87" s="35" t="e">
        <f t="shared" ref="D87:D150" si="25">$B87*optionospct</f>
        <v>#VALUE!</v>
      </c>
      <c r="E87" s="35" t="e">
        <f t="shared" ref="E87:E150" si="26">$A87*optioncompct*100</f>
        <v>#VALUE!</v>
      </c>
      <c r="F87" s="35" t="e">
        <f t="shared" ref="F87:F150" si="27">$A87*optionindpct*100</f>
        <v>#VALUE!</v>
      </c>
      <c r="G87" s="35" t="e">
        <f t="shared" ref="G87:G150" si="28">$A87*optionpppct*100</f>
        <v>#VALUE!</v>
      </c>
      <c r="H87" s="33" t="e">
        <f t="shared" si="17"/>
        <v>#VALUE!</v>
      </c>
      <c r="I87" s="13" t="e">
        <f t="shared" si="18"/>
        <v>#VALUE!</v>
      </c>
      <c r="J87" s="14" t="e">
        <f t="shared" si="19"/>
        <v>#VALUE!</v>
      </c>
      <c r="K87" s="14" t="e">
        <f t="shared" si="20"/>
        <v>#VALUE!</v>
      </c>
      <c r="L87" s="14" t="e">
        <f t="shared" si="21"/>
        <v>#VALUE!</v>
      </c>
      <c r="M87" s="14" t="e">
        <f t="shared" si="22"/>
        <v>#VALUE!</v>
      </c>
      <c r="N87" s="15" t="e">
        <f t="shared" si="23"/>
        <v>#VALUE!</v>
      </c>
      <c r="O87" s="36" t="e">
        <f t="shared" ref="O87:O150" si="29">IF(ISBLANK(resexem)=TRUE,ROUND($I87/optionres*1000,2),ROUND($I87/optionresex*1000,2))</f>
        <v>#VALUE!</v>
      </c>
      <c r="P87" s="36" t="str">
        <f t="shared" ref="P87:P150" si="30">IF(optionos=0," ",ROUND($J87/optionos*1000,2))</f>
        <v xml:space="preserve"> </v>
      </c>
      <c r="Q87" s="36" t="e">
        <f>IF(ISBLANK(comexem)=TRUE,ROUND($K87/optioncom*1000,2),ROUND(($K87+$L87)/optioncomex*1000,2))</f>
        <v>#VALUE!</v>
      </c>
      <c r="R87" s="36" t="e">
        <f>IF(ISBLANK(comexem)=TRUE,ROUND($L87/optionind*1000,2),ROUND(($K87+$L87)/optioncomex*1000,2))</f>
        <v>#VALUE!</v>
      </c>
      <c r="S87" s="37" t="e">
        <f t="shared" ref="S87:S150" si="31">ROUND($M87/optionpp*1000,2)</f>
        <v>#VALUE!</v>
      </c>
    </row>
    <row r="88" spans="1:34">
      <c r="A88" s="222">
        <v>1.325</v>
      </c>
      <c r="B88" s="205" t="e">
        <f t="shared" ref="B88:B151" si="32">((1-(A88*optioncippct))/optionropct*100)</f>
        <v>#VALUE!</v>
      </c>
      <c r="C88" s="34" t="e">
        <f t="shared" si="24"/>
        <v>#VALUE!</v>
      </c>
      <c r="D88" s="35" t="e">
        <f t="shared" si="25"/>
        <v>#VALUE!</v>
      </c>
      <c r="E88" s="35" t="e">
        <f t="shared" si="26"/>
        <v>#VALUE!</v>
      </c>
      <c r="F88" s="35" t="e">
        <f t="shared" si="27"/>
        <v>#VALUE!</v>
      </c>
      <c r="G88" s="35" t="e">
        <f t="shared" si="28"/>
        <v>#VALUE!</v>
      </c>
      <c r="H88" s="33" t="e">
        <f t="shared" ref="H88:H151" si="33">SUM(C88:G88)</f>
        <v>#VALUE!</v>
      </c>
      <c r="I88" s="13" t="e">
        <f t="shared" ref="I88:I151" si="34">C88*optionlevy/100</f>
        <v>#VALUE!</v>
      </c>
      <c r="J88" s="14" t="e">
        <f t="shared" ref="J88:J151" si="35">D88*optionlevy/100</f>
        <v>#VALUE!</v>
      </c>
      <c r="K88" s="14" t="e">
        <f t="shared" ref="K88:K151" si="36">E88*optionlevy/100</f>
        <v>#VALUE!</v>
      </c>
      <c r="L88" s="14" t="e">
        <f t="shared" ref="L88:L151" si="37">F88*optionlevy/100</f>
        <v>#VALUE!</v>
      </c>
      <c r="M88" s="14" t="e">
        <f t="shared" ref="M88:M151" si="38">G88*optionlevy/100</f>
        <v>#VALUE!</v>
      </c>
      <c r="N88" s="15" t="e">
        <f t="shared" ref="N88:N151" si="39">SUM(I88:M88)</f>
        <v>#VALUE!</v>
      </c>
      <c r="O88" s="36" t="e">
        <f t="shared" si="29"/>
        <v>#VALUE!</v>
      </c>
      <c r="P88" s="36" t="str">
        <f t="shared" si="30"/>
        <v xml:space="preserve"> </v>
      </c>
      <c r="Q88" s="36" t="e">
        <f>IF(ISBLANK(comexem)=TRUE,ROUND($K88/optioncom*1000,2),ROUND(($K88+$L88)/optioncomex*1000,2))</f>
        <v>#VALUE!</v>
      </c>
      <c r="R88" s="36" t="e">
        <f>IF(ISBLANK(comexem)=TRUE,ROUND($L88/optionind*1000,2),ROUND(($K88+$L88)/optioncomex*1000,2))</f>
        <v>#VALUE!</v>
      </c>
      <c r="S88" s="37" t="e">
        <f t="shared" si="31"/>
        <v>#VALUE!</v>
      </c>
    </row>
    <row r="89" spans="1:34">
      <c r="A89" s="222">
        <v>1.33</v>
      </c>
      <c r="B89" s="205" t="e">
        <f t="shared" si="32"/>
        <v>#VALUE!</v>
      </c>
      <c r="C89" s="34" t="e">
        <f t="shared" si="24"/>
        <v>#VALUE!</v>
      </c>
      <c r="D89" s="35" t="e">
        <f t="shared" si="25"/>
        <v>#VALUE!</v>
      </c>
      <c r="E89" s="35" t="e">
        <f t="shared" si="26"/>
        <v>#VALUE!</v>
      </c>
      <c r="F89" s="35" t="e">
        <f t="shared" si="27"/>
        <v>#VALUE!</v>
      </c>
      <c r="G89" s="35" t="e">
        <f t="shared" si="28"/>
        <v>#VALUE!</v>
      </c>
      <c r="H89" s="33" t="e">
        <f t="shared" si="33"/>
        <v>#VALUE!</v>
      </c>
      <c r="I89" s="13" t="e">
        <f t="shared" si="34"/>
        <v>#VALUE!</v>
      </c>
      <c r="J89" s="14" t="e">
        <f t="shared" si="35"/>
        <v>#VALUE!</v>
      </c>
      <c r="K89" s="14" t="e">
        <f t="shared" si="36"/>
        <v>#VALUE!</v>
      </c>
      <c r="L89" s="14" t="e">
        <f t="shared" si="37"/>
        <v>#VALUE!</v>
      </c>
      <c r="M89" s="14" t="e">
        <f t="shared" si="38"/>
        <v>#VALUE!</v>
      </c>
      <c r="N89" s="15" t="e">
        <f t="shared" si="39"/>
        <v>#VALUE!</v>
      </c>
      <c r="O89" s="36" t="e">
        <f t="shared" si="29"/>
        <v>#VALUE!</v>
      </c>
      <c r="P89" s="36" t="str">
        <f t="shared" si="30"/>
        <v xml:space="preserve"> </v>
      </c>
      <c r="Q89" s="36" t="e">
        <f>IF(ISBLANK(comexem)=TRUE,ROUND($K89/optioncom*1000,2),ROUND(($K89+$L89)/optioncomex*1000,2))</f>
        <v>#VALUE!</v>
      </c>
      <c r="R89" s="36" t="e">
        <f>IF(ISBLANK(comexem)=TRUE,ROUND($L89/optionind*1000,2),ROUND(($K89+$L89)/optioncomex*1000,2))</f>
        <v>#VALUE!</v>
      </c>
      <c r="S89" s="37" t="e">
        <f t="shared" si="31"/>
        <v>#VALUE!</v>
      </c>
    </row>
    <row r="90" spans="1:34">
      <c r="A90" s="222">
        <v>1.335</v>
      </c>
      <c r="B90" s="205" t="e">
        <f t="shared" si="32"/>
        <v>#VALUE!</v>
      </c>
      <c r="C90" s="34" t="e">
        <f t="shared" si="24"/>
        <v>#VALUE!</v>
      </c>
      <c r="D90" s="35" t="e">
        <f t="shared" si="25"/>
        <v>#VALUE!</v>
      </c>
      <c r="E90" s="35" t="e">
        <f t="shared" si="26"/>
        <v>#VALUE!</v>
      </c>
      <c r="F90" s="35" t="e">
        <f t="shared" si="27"/>
        <v>#VALUE!</v>
      </c>
      <c r="G90" s="35" t="e">
        <f t="shared" si="28"/>
        <v>#VALUE!</v>
      </c>
      <c r="H90" s="33" t="e">
        <f t="shared" si="33"/>
        <v>#VALUE!</v>
      </c>
      <c r="I90" s="13" t="e">
        <f t="shared" si="34"/>
        <v>#VALUE!</v>
      </c>
      <c r="J90" s="14" t="e">
        <f t="shared" si="35"/>
        <v>#VALUE!</v>
      </c>
      <c r="K90" s="14" t="e">
        <f t="shared" si="36"/>
        <v>#VALUE!</v>
      </c>
      <c r="L90" s="14" t="e">
        <f t="shared" si="37"/>
        <v>#VALUE!</v>
      </c>
      <c r="M90" s="14" t="e">
        <f t="shared" si="38"/>
        <v>#VALUE!</v>
      </c>
      <c r="N90" s="15" t="e">
        <f t="shared" si="39"/>
        <v>#VALUE!</v>
      </c>
      <c r="O90" s="36" t="e">
        <f t="shared" si="29"/>
        <v>#VALUE!</v>
      </c>
      <c r="P90" s="36" t="str">
        <f t="shared" si="30"/>
        <v xml:space="preserve"> </v>
      </c>
      <c r="Q90" s="36" t="e">
        <f>IF(ISBLANK(comexem)=TRUE,ROUND($K90/optioncom*1000,2),ROUND(($K90+$L90)/optioncomex*1000,2))</f>
        <v>#VALUE!</v>
      </c>
      <c r="R90" s="36" t="e">
        <f>IF(ISBLANK(comexem)=TRUE,ROUND($L90/optionind*1000,2),ROUND(($K90+$L90)/optioncomex*1000,2))</f>
        <v>#VALUE!</v>
      </c>
      <c r="S90" s="37" t="e">
        <f t="shared" si="31"/>
        <v>#VALUE!</v>
      </c>
      <c r="W90" s="55" t="s">
        <v>167</v>
      </c>
      <c r="Y90" s="183">
        <f>optionres</f>
        <v>0</v>
      </c>
    </row>
    <row r="91" spans="1:34">
      <c r="A91" s="222">
        <v>1.34</v>
      </c>
      <c r="B91" s="205" t="e">
        <f t="shared" si="32"/>
        <v>#VALUE!</v>
      </c>
      <c r="C91" s="34" t="e">
        <f t="shared" si="24"/>
        <v>#VALUE!</v>
      </c>
      <c r="D91" s="35" t="e">
        <f t="shared" si="25"/>
        <v>#VALUE!</v>
      </c>
      <c r="E91" s="35" t="e">
        <f t="shared" si="26"/>
        <v>#VALUE!</v>
      </c>
      <c r="F91" s="35" t="e">
        <f t="shared" si="27"/>
        <v>#VALUE!</v>
      </c>
      <c r="G91" s="35" t="e">
        <f t="shared" si="28"/>
        <v>#VALUE!</v>
      </c>
      <c r="H91" s="33" t="e">
        <f t="shared" si="33"/>
        <v>#VALUE!</v>
      </c>
      <c r="I91" s="13" t="e">
        <f t="shared" si="34"/>
        <v>#VALUE!</v>
      </c>
      <c r="J91" s="14" t="e">
        <f t="shared" si="35"/>
        <v>#VALUE!</v>
      </c>
      <c r="K91" s="14" t="e">
        <f t="shared" si="36"/>
        <v>#VALUE!</v>
      </c>
      <c r="L91" s="14" t="e">
        <f t="shared" si="37"/>
        <v>#VALUE!</v>
      </c>
      <c r="M91" s="14" t="e">
        <f t="shared" si="38"/>
        <v>#VALUE!</v>
      </c>
      <c r="N91" s="15" t="e">
        <f t="shared" si="39"/>
        <v>#VALUE!</v>
      </c>
      <c r="O91" s="36" t="e">
        <f t="shared" si="29"/>
        <v>#VALUE!</v>
      </c>
      <c r="P91" s="36" t="str">
        <f t="shared" si="30"/>
        <v xml:space="preserve"> </v>
      </c>
      <c r="Q91" s="36" t="e">
        <f>IF(ISBLANK(comexem)=TRUE,ROUND($K91/optioncom*1000,2),ROUND(($K91+$L91)/optioncomex*1000,2))</f>
        <v>#VALUE!</v>
      </c>
      <c r="R91" s="36" t="e">
        <f>IF(ISBLANK(comexem)=TRUE,ROUND($L91/optionind*1000,2),ROUND(($K91+$L91)/optioncomex*1000,2))</f>
        <v>#VALUE!</v>
      </c>
      <c r="S91" s="37" t="e">
        <f t="shared" si="31"/>
        <v>#VALUE!</v>
      </c>
      <c r="W91" s="55" t="s">
        <v>168</v>
      </c>
      <c r="Y91" s="183">
        <f>optionos</f>
        <v>0</v>
      </c>
    </row>
    <row r="92" spans="1:34">
      <c r="A92" s="222">
        <v>1.345</v>
      </c>
      <c r="B92" s="205" t="e">
        <f t="shared" si="32"/>
        <v>#VALUE!</v>
      </c>
      <c r="C92" s="34" t="e">
        <f t="shared" si="24"/>
        <v>#VALUE!</v>
      </c>
      <c r="D92" s="35" t="e">
        <f t="shared" si="25"/>
        <v>#VALUE!</v>
      </c>
      <c r="E92" s="35" t="e">
        <f t="shared" si="26"/>
        <v>#VALUE!</v>
      </c>
      <c r="F92" s="35" t="e">
        <f t="shared" si="27"/>
        <v>#VALUE!</v>
      </c>
      <c r="G92" s="35" t="e">
        <f t="shared" si="28"/>
        <v>#VALUE!</v>
      </c>
      <c r="H92" s="33" t="e">
        <f t="shared" si="33"/>
        <v>#VALUE!</v>
      </c>
      <c r="I92" s="13" t="e">
        <f t="shared" si="34"/>
        <v>#VALUE!</v>
      </c>
      <c r="J92" s="14" t="e">
        <f t="shared" si="35"/>
        <v>#VALUE!</v>
      </c>
      <c r="K92" s="14" t="e">
        <f t="shared" si="36"/>
        <v>#VALUE!</v>
      </c>
      <c r="L92" s="14" t="e">
        <f t="shared" si="37"/>
        <v>#VALUE!</v>
      </c>
      <c r="M92" s="14" t="e">
        <f t="shared" si="38"/>
        <v>#VALUE!</v>
      </c>
      <c r="N92" s="15" t="e">
        <f t="shared" si="39"/>
        <v>#VALUE!</v>
      </c>
      <c r="O92" s="36" t="e">
        <f t="shared" si="29"/>
        <v>#VALUE!</v>
      </c>
      <c r="P92" s="36" t="str">
        <f t="shared" si="30"/>
        <v xml:space="preserve"> </v>
      </c>
      <c r="Q92" s="36" t="e">
        <f>IF(ISBLANK(comexem)=TRUE,ROUND($K92/optioncom*1000,2),ROUND(($K92+$L92)/optioncomex*1000,2))</f>
        <v>#VALUE!</v>
      </c>
      <c r="R92" s="36" t="e">
        <f>IF(ISBLANK(comexem)=TRUE,ROUND($L92/optionind*1000,2),ROUND(($K92+$L92)/optioncomex*1000,2))</f>
        <v>#VALUE!</v>
      </c>
      <c r="S92" s="37" t="e">
        <f t="shared" si="31"/>
        <v>#VALUE!</v>
      </c>
      <c r="W92" s="55" t="s">
        <v>169</v>
      </c>
      <c r="Y92" s="183">
        <f>optioncom</f>
        <v>0</v>
      </c>
    </row>
    <row r="93" spans="1:34">
      <c r="A93" s="222">
        <v>1.35</v>
      </c>
      <c r="B93" s="205" t="e">
        <f t="shared" si="32"/>
        <v>#VALUE!</v>
      </c>
      <c r="C93" s="34" t="e">
        <f t="shared" si="24"/>
        <v>#VALUE!</v>
      </c>
      <c r="D93" s="35" t="e">
        <f t="shared" si="25"/>
        <v>#VALUE!</v>
      </c>
      <c r="E93" s="35" t="e">
        <f t="shared" si="26"/>
        <v>#VALUE!</v>
      </c>
      <c r="F93" s="35" t="e">
        <f t="shared" si="27"/>
        <v>#VALUE!</v>
      </c>
      <c r="G93" s="35" t="e">
        <f t="shared" si="28"/>
        <v>#VALUE!</v>
      </c>
      <c r="H93" s="33" t="e">
        <f t="shared" si="33"/>
        <v>#VALUE!</v>
      </c>
      <c r="I93" s="13" t="e">
        <f t="shared" si="34"/>
        <v>#VALUE!</v>
      </c>
      <c r="J93" s="14" t="e">
        <f t="shared" si="35"/>
        <v>#VALUE!</v>
      </c>
      <c r="K93" s="14" t="e">
        <f t="shared" si="36"/>
        <v>#VALUE!</v>
      </c>
      <c r="L93" s="14" t="e">
        <f t="shared" si="37"/>
        <v>#VALUE!</v>
      </c>
      <c r="M93" s="14" t="e">
        <f t="shared" si="38"/>
        <v>#VALUE!</v>
      </c>
      <c r="N93" s="15" t="e">
        <f t="shared" si="39"/>
        <v>#VALUE!</v>
      </c>
      <c r="O93" s="36" t="e">
        <f t="shared" si="29"/>
        <v>#VALUE!</v>
      </c>
      <c r="P93" s="36" t="str">
        <f t="shared" si="30"/>
        <v xml:space="preserve"> </v>
      </c>
      <c r="Q93" s="36" t="e">
        <f>IF(ISBLANK(comexem)=TRUE,ROUND($K93/optioncom*1000,2),ROUND(($K93+$L93)/optioncomex*1000,2))</f>
        <v>#VALUE!</v>
      </c>
      <c r="R93" s="36" t="e">
        <f>IF(ISBLANK(comexem)=TRUE,ROUND($L93/optionind*1000,2),ROUND(($K93+$L93)/optioncomex*1000,2))</f>
        <v>#VALUE!</v>
      </c>
      <c r="S93" s="37" t="e">
        <f t="shared" si="31"/>
        <v>#VALUE!</v>
      </c>
      <c r="W93" s="55" t="s">
        <v>170</v>
      </c>
      <c r="Y93" s="183">
        <f>optionind</f>
        <v>0</v>
      </c>
    </row>
    <row r="94" spans="1:34">
      <c r="A94" s="222">
        <v>1.355</v>
      </c>
      <c r="B94" s="205" t="e">
        <f t="shared" si="32"/>
        <v>#VALUE!</v>
      </c>
      <c r="C94" s="34" t="e">
        <f t="shared" si="24"/>
        <v>#VALUE!</v>
      </c>
      <c r="D94" s="35" t="e">
        <f t="shared" si="25"/>
        <v>#VALUE!</v>
      </c>
      <c r="E94" s="35" t="e">
        <f t="shared" si="26"/>
        <v>#VALUE!</v>
      </c>
      <c r="F94" s="35" t="e">
        <f t="shared" si="27"/>
        <v>#VALUE!</v>
      </c>
      <c r="G94" s="35" t="e">
        <f t="shared" si="28"/>
        <v>#VALUE!</v>
      </c>
      <c r="H94" s="33" t="e">
        <f t="shared" si="33"/>
        <v>#VALUE!</v>
      </c>
      <c r="I94" s="13" t="e">
        <f t="shared" si="34"/>
        <v>#VALUE!</v>
      </c>
      <c r="J94" s="14" t="e">
        <f t="shared" si="35"/>
        <v>#VALUE!</v>
      </c>
      <c r="K94" s="14" t="e">
        <f t="shared" si="36"/>
        <v>#VALUE!</v>
      </c>
      <c r="L94" s="14" t="e">
        <f t="shared" si="37"/>
        <v>#VALUE!</v>
      </c>
      <c r="M94" s="14" t="e">
        <f t="shared" si="38"/>
        <v>#VALUE!</v>
      </c>
      <c r="N94" s="15" t="e">
        <f t="shared" si="39"/>
        <v>#VALUE!</v>
      </c>
      <c r="O94" s="36" t="e">
        <f t="shared" si="29"/>
        <v>#VALUE!</v>
      </c>
      <c r="P94" s="36" t="str">
        <f t="shared" si="30"/>
        <v xml:space="preserve"> </v>
      </c>
      <c r="Q94" s="36" t="e">
        <f>IF(ISBLANK(comexem)=TRUE,ROUND($K94/optioncom*1000,2),ROUND(($K94+$L94)/optioncomex*1000,2))</f>
        <v>#VALUE!</v>
      </c>
      <c r="R94" s="36" t="e">
        <f>IF(ISBLANK(comexem)=TRUE,ROUND($L94/optionind*1000,2),ROUND(($K94+$L94)/optioncomex*1000,2))</f>
        <v>#VALUE!</v>
      </c>
      <c r="S94" s="37" t="e">
        <f t="shared" si="31"/>
        <v>#VALUE!</v>
      </c>
      <c r="W94" s="55" t="s">
        <v>171</v>
      </c>
      <c r="Y94" s="183">
        <f>optionpp</f>
        <v>0</v>
      </c>
    </row>
    <row r="95" spans="1:34">
      <c r="A95" s="222">
        <v>1.36</v>
      </c>
      <c r="B95" s="205" t="e">
        <f t="shared" si="32"/>
        <v>#VALUE!</v>
      </c>
      <c r="C95" s="34" t="e">
        <f t="shared" si="24"/>
        <v>#VALUE!</v>
      </c>
      <c r="D95" s="35" t="e">
        <f t="shared" si="25"/>
        <v>#VALUE!</v>
      </c>
      <c r="E95" s="35" t="e">
        <f t="shared" si="26"/>
        <v>#VALUE!</v>
      </c>
      <c r="F95" s="35" t="e">
        <f t="shared" si="27"/>
        <v>#VALUE!</v>
      </c>
      <c r="G95" s="35" t="e">
        <f t="shared" si="28"/>
        <v>#VALUE!</v>
      </c>
      <c r="H95" s="33" t="e">
        <f t="shared" si="33"/>
        <v>#VALUE!</v>
      </c>
      <c r="I95" s="13" t="e">
        <f t="shared" si="34"/>
        <v>#VALUE!</v>
      </c>
      <c r="J95" s="14" t="e">
        <f t="shared" si="35"/>
        <v>#VALUE!</v>
      </c>
      <c r="K95" s="14" t="e">
        <f t="shared" si="36"/>
        <v>#VALUE!</v>
      </c>
      <c r="L95" s="14" t="e">
        <f t="shared" si="37"/>
        <v>#VALUE!</v>
      </c>
      <c r="M95" s="14" t="e">
        <f t="shared" si="38"/>
        <v>#VALUE!</v>
      </c>
      <c r="N95" s="15" t="e">
        <f t="shared" si="39"/>
        <v>#VALUE!</v>
      </c>
      <c r="O95" s="36" t="e">
        <f t="shared" si="29"/>
        <v>#VALUE!</v>
      </c>
      <c r="P95" s="36" t="str">
        <f t="shared" si="30"/>
        <v xml:space="preserve"> </v>
      </c>
      <c r="Q95" s="36" t="e">
        <f>IF(ISBLANK(comexem)=TRUE,ROUND($K95/optioncom*1000,2),ROUND(($K95+$L95)/optioncomex*1000,2))</f>
        <v>#VALUE!</v>
      </c>
      <c r="R95" s="36" t="e">
        <f>IF(ISBLANK(comexem)=TRUE,ROUND($L95/optionind*1000,2),ROUND(($K95+$L95)/optioncomex*1000,2))</f>
        <v>#VALUE!</v>
      </c>
      <c r="S95" s="37" t="e">
        <f t="shared" si="31"/>
        <v>#VALUE!</v>
      </c>
    </row>
    <row r="96" spans="1:34">
      <c r="A96" s="222">
        <v>1.365</v>
      </c>
      <c r="B96" s="205" t="e">
        <f t="shared" si="32"/>
        <v>#VALUE!</v>
      </c>
      <c r="C96" s="34" t="e">
        <f t="shared" si="24"/>
        <v>#VALUE!</v>
      </c>
      <c r="D96" s="35" t="e">
        <f t="shared" si="25"/>
        <v>#VALUE!</v>
      </c>
      <c r="E96" s="35" t="e">
        <f t="shared" si="26"/>
        <v>#VALUE!</v>
      </c>
      <c r="F96" s="35" t="e">
        <f t="shared" si="27"/>
        <v>#VALUE!</v>
      </c>
      <c r="G96" s="35" t="e">
        <f t="shared" si="28"/>
        <v>#VALUE!</v>
      </c>
      <c r="H96" s="33" t="e">
        <f t="shared" si="33"/>
        <v>#VALUE!</v>
      </c>
      <c r="I96" s="13" t="e">
        <f t="shared" si="34"/>
        <v>#VALUE!</v>
      </c>
      <c r="J96" s="14" t="e">
        <f t="shared" si="35"/>
        <v>#VALUE!</v>
      </c>
      <c r="K96" s="14" t="e">
        <f t="shared" si="36"/>
        <v>#VALUE!</v>
      </c>
      <c r="L96" s="14" t="e">
        <f t="shared" si="37"/>
        <v>#VALUE!</v>
      </c>
      <c r="M96" s="14" t="e">
        <f t="shared" si="38"/>
        <v>#VALUE!</v>
      </c>
      <c r="N96" s="15" t="e">
        <f t="shared" si="39"/>
        <v>#VALUE!</v>
      </c>
      <c r="O96" s="36" t="e">
        <f t="shared" si="29"/>
        <v>#VALUE!</v>
      </c>
      <c r="P96" s="36" t="str">
        <f t="shared" si="30"/>
        <v xml:space="preserve"> </v>
      </c>
      <c r="Q96" s="36" t="e">
        <f>IF(ISBLANK(comexem)=TRUE,ROUND($K96/optioncom*1000,2),ROUND(($K96+$L96)/optioncomex*1000,2))</f>
        <v>#VALUE!</v>
      </c>
      <c r="R96" s="36" t="e">
        <f>IF(ISBLANK(comexem)=TRUE,ROUND($L96/optionind*1000,2),ROUND(($K96+$L96)/optioncomex*1000,2))</f>
        <v>#VALUE!</v>
      </c>
      <c r="S96" s="37" t="e">
        <f t="shared" si="31"/>
        <v>#VALUE!</v>
      </c>
      <c r="W96" s="184" t="s">
        <v>172</v>
      </c>
      <c r="Y96" s="185" t="str">
        <f>optionresex</f>
        <v xml:space="preserve"> </v>
      </c>
    </row>
    <row r="97" spans="1:27">
      <c r="A97" s="222">
        <v>1.3699999999999899</v>
      </c>
      <c r="B97" s="205" t="e">
        <f t="shared" si="32"/>
        <v>#VALUE!</v>
      </c>
      <c r="C97" s="34" t="e">
        <f t="shared" si="24"/>
        <v>#VALUE!</v>
      </c>
      <c r="D97" s="35" t="e">
        <f t="shared" si="25"/>
        <v>#VALUE!</v>
      </c>
      <c r="E97" s="35" t="e">
        <f t="shared" si="26"/>
        <v>#VALUE!</v>
      </c>
      <c r="F97" s="35" t="e">
        <f t="shared" si="27"/>
        <v>#VALUE!</v>
      </c>
      <c r="G97" s="35" t="e">
        <f t="shared" si="28"/>
        <v>#VALUE!</v>
      </c>
      <c r="H97" s="33" t="e">
        <f t="shared" si="33"/>
        <v>#VALUE!</v>
      </c>
      <c r="I97" s="13" t="e">
        <f t="shared" si="34"/>
        <v>#VALUE!</v>
      </c>
      <c r="J97" s="14" t="e">
        <f t="shared" si="35"/>
        <v>#VALUE!</v>
      </c>
      <c r="K97" s="14" t="e">
        <f t="shared" si="36"/>
        <v>#VALUE!</v>
      </c>
      <c r="L97" s="14" t="e">
        <f t="shared" si="37"/>
        <v>#VALUE!</v>
      </c>
      <c r="M97" s="14" t="e">
        <f t="shared" si="38"/>
        <v>#VALUE!</v>
      </c>
      <c r="N97" s="15" t="e">
        <f t="shared" si="39"/>
        <v>#VALUE!</v>
      </c>
      <c r="O97" s="36" t="e">
        <f t="shared" si="29"/>
        <v>#VALUE!</v>
      </c>
      <c r="P97" s="36" t="str">
        <f t="shared" si="30"/>
        <v xml:space="preserve"> </v>
      </c>
      <c r="Q97" s="36" t="e">
        <f>IF(ISBLANK(comexem)=TRUE,ROUND($K97/optioncom*1000,2),ROUND(($K97+$L97)/optioncomex*1000,2))</f>
        <v>#VALUE!</v>
      </c>
      <c r="R97" s="36" t="e">
        <f>IF(ISBLANK(comexem)=TRUE,ROUND($L97/optionind*1000,2),ROUND(($K97+$L97)/optioncomex*1000,2))</f>
        <v>#VALUE!</v>
      </c>
      <c r="S97" s="37" t="e">
        <f t="shared" si="31"/>
        <v>#VALUE!</v>
      </c>
      <c r="W97" s="184" t="s">
        <v>173</v>
      </c>
      <c r="Y97" s="186">
        <f>resexem</f>
        <v>0</v>
      </c>
    </row>
    <row r="98" spans="1:27">
      <c r="A98" s="222">
        <v>1.375</v>
      </c>
      <c r="B98" s="205" t="e">
        <f t="shared" si="32"/>
        <v>#VALUE!</v>
      </c>
      <c r="C98" s="34" t="e">
        <f t="shared" si="24"/>
        <v>#VALUE!</v>
      </c>
      <c r="D98" s="35" t="e">
        <f t="shared" si="25"/>
        <v>#VALUE!</v>
      </c>
      <c r="E98" s="35" t="e">
        <f t="shared" si="26"/>
        <v>#VALUE!</v>
      </c>
      <c r="F98" s="35" t="e">
        <f t="shared" si="27"/>
        <v>#VALUE!</v>
      </c>
      <c r="G98" s="35" t="e">
        <f t="shared" si="28"/>
        <v>#VALUE!</v>
      </c>
      <c r="H98" s="33" t="e">
        <f t="shared" si="33"/>
        <v>#VALUE!</v>
      </c>
      <c r="I98" s="13" t="e">
        <f t="shared" si="34"/>
        <v>#VALUE!</v>
      </c>
      <c r="J98" s="14" t="e">
        <f t="shared" si="35"/>
        <v>#VALUE!</v>
      </c>
      <c r="K98" s="14" t="e">
        <f t="shared" si="36"/>
        <v>#VALUE!</v>
      </c>
      <c r="L98" s="14" t="e">
        <f t="shared" si="37"/>
        <v>#VALUE!</v>
      </c>
      <c r="M98" s="14" t="e">
        <f t="shared" si="38"/>
        <v>#VALUE!</v>
      </c>
      <c r="N98" s="15" t="e">
        <f t="shared" si="39"/>
        <v>#VALUE!</v>
      </c>
      <c r="O98" s="36" t="e">
        <f t="shared" si="29"/>
        <v>#VALUE!</v>
      </c>
      <c r="P98" s="36" t="str">
        <f t="shared" si="30"/>
        <v xml:space="preserve"> </v>
      </c>
      <c r="Q98" s="36" t="e">
        <f>IF(ISBLANK(comexem)=TRUE,ROUND($K98/optioncom*1000,2),ROUND(($K98+$L98)/optioncomex*1000,2))</f>
        <v>#VALUE!</v>
      </c>
      <c r="R98" s="36" t="e">
        <f>IF(ISBLANK(comexem)=TRUE,ROUND($L98/optionind*1000,2),ROUND(($K98+$L98)/optioncomex*1000,2))</f>
        <v>#VALUE!</v>
      </c>
      <c r="S98" s="37" t="e">
        <f t="shared" si="31"/>
        <v>#VALUE!</v>
      </c>
      <c r="W98" s="184" t="s">
        <v>175</v>
      </c>
      <c r="Y98" s="184" t="e">
        <f>comexem</f>
        <v>#NAME?</v>
      </c>
    </row>
    <row r="99" spans="1:27">
      <c r="A99" s="222">
        <v>1.38</v>
      </c>
      <c r="B99" s="205" t="e">
        <f t="shared" si="32"/>
        <v>#VALUE!</v>
      </c>
      <c r="C99" s="34" t="e">
        <f t="shared" si="24"/>
        <v>#VALUE!</v>
      </c>
      <c r="D99" s="35" t="e">
        <f t="shared" si="25"/>
        <v>#VALUE!</v>
      </c>
      <c r="E99" s="35" t="e">
        <f t="shared" si="26"/>
        <v>#VALUE!</v>
      </c>
      <c r="F99" s="35" t="e">
        <f t="shared" si="27"/>
        <v>#VALUE!</v>
      </c>
      <c r="G99" s="35" t="e">
        <f t="shared" si="28"/>
        <v>#VALUE!</v>
      </c>
      <c r="H99" s="33" t="e">
        <f t="shared" si="33"/>
        <v>#VALUE!</v>
      </c>
      <c r="I99" s="13" t="e">
        <f t="shared" si="34"/>
        <v>#VALUE!</v>
      </c>
      <c r="J99" s="14" t="e">
        <f t="shared" si="35"/>
        <v>#VALUE!</v>
      </c>
      <c r="K99" s="14" t="e">
        <f t="shared" si="36"/>
        <v>#VALUE!</v>
      </c>
      <c r="L99" s="14" t="e">
        <f t="shared" si="37"/>
        <v>#VALUE!</v>
      </c>
      <c r="M99" s="14" t="e">
        <f t="shared" si="38"/>
        <v>#VALUE!</v>
      </c>
      <c r="N99" s="15" t="e">
        <f t="shared" si="39"/>
        <v>#VALUE!</v>
      </c>
      <c r="O99" s="36" t="e">
        <f t="shared" si="29"/>
        <v>#VALUE!</v>
      </c>
      <c r="P99" s="36" t="str">
        <f t="shared" si="30"/>
        <v xml:space="preserve"> </v>
      </c>
      <c r="Q99" s="36" t="e">
        <f>IF(ISBLANK(comexem)=TRUE,ROUND($K99/optioncom*1000,2),ROUND(($K99+$L99)/optioncomex*1000,2))</f>
        <v>#VALUE!</v>
      </c>
      <c r="R99" s="36" t="e">
        <f>IF(ISBLANK(comexem)=TRUE,ROUND($L99/optionind*1000,2),ROUND(($K99+$L99)/optioncomex*1000,2))</f>
        <v>#VALUE!</v>
      </c>
      <c r="S99" s="37" t="e">
        <f t="shared" si="31"/>
        <v>#VALUE!</v>
      </c>
      <c r="W99" s="184" t="s">
        <v>176</v>
      </c>
      <c r="Y99" s="185">
        <f>optioncomex</f>
        <v>0</v>
      </c>
    </row>
    <row r="100" spans="1:27">
      <c r="A100" s="222">
        <v>1.38499999999999</v>
      </c>
      <c r="B100" s="205" t="e">
        <f t="shared" si="32"/>
        <v>#VALUE!</v>
      </c>
      <c r="C100" s="34" t="e">
        <f t="shared" si="24"/>
        <v>#VALUE!</v>
      </c>
      <c r="D100" s="35" t="e">
        <f t="shared" si="25"/>
        <v>#VALUE!</v>
      </c>
      <c r="E100" s="35" t="e">
        <f t="shared" si="26"/>
        <v>#VALUE!</v>
      </c>
      <c r="F100" s="35" t="e">
        <f t="shared" si="27"/>
        <v>#VALUE!</v>
      </c>
      <c r="G100" s="35" t="e">
        <f t="shared" si="28"/>
        <v>#VALUE!</v>
      </c>
      <c r="H100" s="33" t="e">
        <f t="shared" si="33"/>
        <v>#VALUE!</v>
      </c>
      <c r="I100" s="13" t="e">
        <f t="shared" si="34"/>
        <v>#VALUE!</v>
      </c>
      <c r="J100" s="14" t="e">
        <f t="shared" si="35"/>
        <v>#VALUE!</v>
      </c>
      <c r="K100" s="14" t="e">
        <f t="shared" si="36"/>
        <v>#VALUE!</v>
      </c>
      <c r="L100" s="14" t="e">
        <f t="shared" si="37"/>
        <v>#VALUE!</v>
      </c>
      <c r="M100" s="14" t="e">
        <f t="shared" si="38"/>
        <v>#VALUE!</v>
      </c>
      <c r="N100" s="15" t="e">
        <f t="shared" si="39"/>
        <v>#VALUE!</v>
      </c>
      <c r="O100" s="36" t="e">
        <f t="shared" si="29"/>
        <v>#VALUE!</v>
      </c>
      <c r="P100" s="36" t="str">
        <f t="shared" si="30"/>
        <v xml:space="preserve"> </v>
      </c>
      <c r="Q100" s="36" t="e">
        <f>IF(ISBLANK(comexem)=TRUE,ROUND($K100/optioncom*1000,2),ROUND(($K100+$L100)/optioncomex*1000,2))</f>
        <v>#VALUE!</v>
      </c>
      <c r="R100" s="36" t="e">
        <f>IF(ISBLANK(comexem)=TRUE,ROUND($L100/optionind*1000,2),ROUND(($K100+$L100)/optioncomex*1000,2))</f>
        <v>#VALUE!</v>
      </c>
      <c r="S100" s="37" t="e">
        <f t="shared" si="31"/>
        <v>#VALUE!</v>
      </c>
      <c r="W100" s="55" t="s">
        <v>175</v>
      </c>
      <c r="Y100" s="187" t="e">
        <f>comexem</f>
        <v>#NAME?</v>
      </c>
    </row>
    <row r="101" spans="1:27">
      <c r="A101" s="222">
        <v>1.39</v>
      </c>
      <c r="B101" s="205" t="e">
        <f t="shared" si="32"/>
        <v>#VALUE!</v>
      </c>
      <c r="C101" s="34" t="e">
        <f t="shared" si="24"/>
        <v>#VALUE!</v>
      </c>
      <c r="D101" s="35" t="e">
        <f t="shared" si="25"/>
        <v>#VALUE!</v>
      </c>
      <c r="E101" s="35" t="e">
        <f t="shared" si="26"/>
        <v>#VALUE!</v>
      </c>
      <c r="F101" s="35" t="e">
        <f t="shared" si="27"/>
        <v>#VALUE!</v>
      </c>
      <c r="G101" s="35" t="e">
        <f t="shared" si="28"/>
        <v>#VALUE!</v>
      </c>
      <c r="H101" s="33" t="e">
        <f t="shared" si="33"/>
        <v>#VALUE!</v>
      </c>
      <c r="I101" s="13" t="e">
        <f t="shared" si="34"/>
        <v>#VALUE!</v>
      </c>
      <c r="J101" s="14" t="e">
        <f t="shared" si="35"/>
        <v>#VALUE!</v>
      </c>
      <c r="K101" s="14" t="e">
        <f t="shared" si="36"/>
        <v>#VALUE!</v>
      </c>
      <c r="L101" s="14" t="e">
        <f t="shared" si="37"/>
        <v>#VALUE!</v>
      </c>
      <c r="M101" s="14" t="e">
        <f t="shared" si="38"/>
        <v>#VALUE!</v>
      </c>
      <c r="N101" s="15" t="e">
        <f t="shared" si="39"/>
        <v>#VALUE!</v>
      </c>
      <c r="O101" s="36" t="e">
        <f t="shared" si="29"/>
        <v>#VALUE!</v>
      </c>
      <c r="P101" s="36" t="str">
        <f t="shared" si="30"/>
        <v xml:space="preserve"> </v>
      </c>
      <c r="Q101" s="36" t="e">
        <f>IF(ISBLANK(comexem)=TRUE,ROUND($K101/optioncom*1000,2),ROUND(($K101+$L101)/optioncomex*1000,2))</f>
        <v>#VALUE!</v>
      </c>
      <c r="R101" s="36" t="e">
        <f>IF(ISBLANK(comexem)=TRUE,ROUND($L101/optionind*1000,2),ROUND(($K101+$L101)/optioncomex*1000,2))</f>
        <v>#VALUE!</v>
      </c>
      <c r="S101" s="37" t="e">
        <f t="shared" si="31"/>
        <v>#VALUE!</v>
      </c>
      <c r="W101" s="55" t="s">
        <v>184</v>
      </c>
      <c r="Y101" s="188">
        <f>exemcom</f>
        <v>0</v>
      </c>
    </row>
    <row r="102" spans="1:27">
      <c r="A102" s="222">
        <v>1.395</v>
      </c>
      <c r="B102" s="205" t="e">
        <f t="shared" si="32"/>
        <v>#VALUE!</v>
      </c>
      <c r="C102" s="34" t="e">
        <f t="shared" si="24"/>
        <v>#VALUE!</v>
      </c>
      <c r="D102" s="35" t="e">
        <f t="shared" si="25"/>
        <v>#VALUE!</v>
      </c>
      <c r="E102" s="35" t="e">
        <f t="shared" si="26"/>
        <v>#VALUE!</v>
      </c>
      <c r="F102" s="35" t="e">
        <f t="shared" si="27"/>
        <v>#VALUE!</v>
      </c>
      <c r="G102" s="35" t="e">
        <f t="shared" si="28"/>
        <v>#VALUE!</v>
      </c>
      <c r="H102" s="33" t="e">
        <f t="shared" si="33"/>
        <v>#VALUE!</v>
      </c>
      <c r="I102" s="13" t="e">
        <f t="shared" si="34"/>
        <v>#VALUE!</v>
      </c>
      <c r="J102" s="14" t="e">
        <f t="shared" si="35"/>
        <v>#VALUE!</v>
      </c>
      <c r="K102" s="14" t="e">
        <f t="shared" si="36"/>
        <v>#VALUE!</v>
      </c>
      <c r="L102" s="14" t="e">
        <f t="shared" si="37"/>
        <v>#VALUE!</v>
      </c>
      <c r="M102" s="14" t="e">
        <f t="shared" si="38"/>
        <v>#VALUE!</v>
      </c>
      <c r="N102" s="15" t="e">
        <f t="shared" si="39"/>
        <v>#VALUE!</v>
      </c>
      <c r="O102" s="36" t="e">
        <f t="shared" si="29"/>
        <v>#VALUE!</v>
      </c>
      <c r="P102" s="36" t="str">
        <f t="shared" si="30"/>
        <v xml:space="preserve"> </v>
      </c>
      <c r="Q102" s="36" t="e">
        <f>IF(ISBLANK(comexem)=TRUE,ROUND($K102/optioncom*1000,2),ROUND(($K102+$L102)/optioncomex*1000,2))</f>
        <v>#VALUE!</v>
      </c>
      <c r="R102" s="36" t="e">
        <f>IF(ISBLANK(comexem)=TRUE,ROUND($L102/optionind*1000,2),ROUND(($K102+$L102)/optioncomex*1000,2))</f>
        <v>#VALUE!</v>
      </c>
      <c r="S102" s="37" t="e">
        <f t="shared" si="31"/>
        <v>#VALUE!</v>
      </c>
      <c r="W102" s="55" t="s">
        <v>186</v>
      </c>
      <c r="Y102" s="55">
        <f>exemcompcls</f>
        <v>0</v>
      </c>
    </row>
    <row r="103" spans="1:27">
      <c r="A103" s="222">
        <v>1.4</v>
      </c>
      <c r="B103" s="205" t="e">
        <f t="shared" si="32"/>
        <v>#VALUE!</v>
      </c>
      <c r="C103" s="34" t="e">
        <f t="shared" si="24"/>
        <v>#VALUE!</v>
      </c>
      <c r="D103" s="35" t="e">
        <f t="shared" si="25"/>
        <v>#VALUE!</v>
      </c>
      <c r="E103" s="35" t="e">
        <f t="shared" si="26"/>
        <v>#VALUE!</v>
      </c>
      <c r="F103" s="35" t="e">
        <f t="shared" si="27"/>
        <v>#VALUE!</v>
      </c>
      <c r="G103" s="35" t="e">
        <f t="shared" si="28"/>
        <v>#VALUE!</v>
      </c>
      <c r="H103" s="33" t="e">
        <f t="shared" si="33"/>
        <v>#VALUE!</v>
      </c>
      <c r="I103" s="13" t="e">
        <f t="shared" si="34"/>
        <v>#VALUE!</v>
      </c>
      <c r="J103" s="14" t="e">
        <f t="shared" si="35"/>
        <v>#VALUE!</v>
      </c>
      <c r="K103" s="14" t="e">
        <f t="shared" si="36"/>
        <v>#VALUE!</v>
      </c>
      <c r="L103" s="14" t="e">
        <f t="shared" si="37"/>
        <v>#VALUE!</v>
      </c>
      <c r="M103" s="14" t="e">
        <f t="shared" si="38"/>
        <v>#VALUE!</v>
      </c>
      <c r="N103" s="15" t="e">
        <f t="shared" si="39"/>
        <v>#VALUE!</v>
      </c>
      <c r="O103" s="36" t="e">
        <f t="shared" si="29"/>
        <v>#VALUE!</v>
      </c>
      <c r="P103" s="36" t="str">
        <f t="shared" si="30"/>
        <v xml:space="preserve"> </v>
      </c>
      <c r="Q103" s="36" t="e">
        <f>IF(ISBLANK(comexem)=TRUE,ROUND($K103/optioncom*1000,2),ROUND(($K103+$L103)/optioncomex*1000,2))</f>
        <v>#VALUE!</v>
      </c>
      <c r="R103" s="36" t="e">
        <f>IF(ISBLANK(comexem)=TRUE,ROUND($L103/optionind*1000,2),ROUND(($K103+$L103)/optioncomex*1000,2))</f>
        <v>#VALUE!</v>
      </c>
      <c r="S103" s="37" t="e">
        <f t="shared" si="31"/>
        <v>#VALUE!</v>
      </c>
    </row>
    <row r="104" spans="1:27">
      <c r="A104" s="222">
        <v>1.40499999999999</v>
      </c>
      <c r="B104" s="205" t="e">
        <f t="shared" si="32"/>
        <v>#VALUE!</v>
      </c>
      <c r="C104" s="34" t="e">
        <f t="shared" si="24"/>
        <v>#VALUE!</v>
      </c>
      <c r="D104" s="35" t="e">
        <f t="shared" si="25"/>
        <v>#VALUE!</v>
      </c>
      <c r="E104" s="35" t="e">
        <f t="shared" si="26"/>
        <v>#VALUE!</v>
      </c>
      <c r="F104" s="35" t="e">
        <f t="shared" si="27"/>
        <v>#VALUE!</v>
      </c>
      <c r="G104" s="35" t="e">
        <f t="shared" si="28"/>
        <v>#VALUE!</v>
      </c>
      <c r="H104" s="33" t="e">
        <f t="shared" si="33"/>
        <v>#VALUE!</v>
      </c>
      <c r="I104" s="13" t="e">
        <f t="shared" si="34"/>
        <v>#VALUE!</v>
      </c>
      <c r="J104" s="14" t="e">
        <f t="shared" si="35"/>
        <v>#VALUE!</v>
      </c>
      <c r="K104" s="14" t="e">
        <f t="shared" si="36"/>
        <v>#VALUE!</v>
      </c>
      <c r="L104" s="14" t="e">
        <f t="shared" si="37"/>
        <v>#VALUE!</v>
      </c>
      <c r="M104" s="14" t="e">
        <f t="shared" si="38"/>
        <v>#VALUE!</v>
      </c>
      <c r="N104" s="15" t="e">
        <f t="shared" si="39"/>
        <v>#VALUE!</v>
      </c>
      <c r="O104" s="36" t="e">
        <f t="shared" si="29"/>
        <v>#VALUE!</v>
      </c>
      <c r="P104" s="36" t="str">
        <f t="shared" si="30"/>
        <v xml:space="preserve"> </v>
      </c>
      <c r="Q104" s="36" t="e">
        <f>IF(ISBLANK(comexem)=TRUE,ROUND($K104/optioncom*1000,2),ROUND(($K104+$L104)/optioncomex*1000,2))</f>
        <v>#VALUE!</v>
      </c>
      <c r="R104" s="36" t="e">
        <f>IF(ISBLANK(comexem)=TRUE,ROUND($L104/optionind*1000,2),ROUND(($K104+$L104)/optioncomex*1000,2))</f>
        <v>#VALUE!</v>
      </c>
      <c r="S104" s="37" t="e">
        <f t="shared" si="31"/>
        <v>#VALUE!</v>
      </c>
      <c r="W104" s="189">
        <f>L6</f>
        <v>0</v>
      </c>
      <c r="Y104" s="188"/>
    </row>
    <row r="105" spans="1:27">
      <c r="A105" s="222">
        <v>1.41</v>
      </c>
      <c r="B105" s="205" t="e">
        <f t="shared" si="32"/>
        <v>#VALUE!</v>
      </c>
      <c r="C105" s="34" t="e">
        <f t="shared" si="24"/>
        <v>#VALUE!</v>
      </c>
      <c r="D105" s="35" t="e">
        <f t="shared" si="25"/>
        <v>#VALUE!</v>
      </c>
      <c r="E105" s="35" t="e">
        <f t="shared" si="26"/>
        <v>#VALUE!</v>
      </c>
      <c r="F105" s="35" t="e">
        <f t="shared" si="27"/>
        <v>#VALUE!</v>
      </c>
      <c r="G105" s="35" t="e">
        <f t="shared" si="28"/>
        <v>#VALUE!</v>
      </c>
      <c r="H105" s="33" t="e">
        <f t="shared" si="33"/>
        <v>#VALUE!</v>
      </c>
      <c r="I105" s="13" t="e">
        <f t="shared" si="34"/>
        <v>#VALUE!</v>
      </c>
      <c r="J105" s="14" t="e">
        <f t="shared" si="35"/>
        <v>#VALUE!</v>
      </c>
      <c r="K105" s="14" t="e">
        <f t="shared" si="36"/>
        <v>#VALUE!</v>
      </c>
      <c r="L105" s="14" t="e">
        <f t="shared" si="37"/>
        <v>#VALUE!</v>
      </c>
      <c r="M105" s="14" t="e">
        <f t="shared" si="38"/>
        <v>#VALUE!</v>
      </c>
      <c r="N105" s="15" t="e">
        <f t="shared" si="39"/>
        <v>#VALUE!</v>
      </c>
      <c r="O105" s="36" t="e">
        <f t="shared" si="29"/>
        <v>#VALUE!</v>
      </c>
      <c r="P105" s="36" t="str">
        <f t="shared" si="30"/>
        <v xml:space="preserve"> </v>
      </c>
      <c r="Q105" s="36" t="e">
        <f>IF(ISBLANK(comexem)=TRUE,ROUND($K105/optioncom*1000,2),ROUND(($K105+$L105)/optioncomex*1000,2))</f>
        <v>#VALUE!</v>
      </c>
      <c r="R105" s="36" t="e">
        <f>IF(ISBLANK(comexem)=TRUE,ROUND($L105/optionind*1000,2),ROUND(($K105+$L105)/optioncomex*1000,2))</f>
        <v>#VALUE!</v>
      </c>
      <c r="S105" s="37" t="e">
        <f t="shared" si="31"/>
        <v>#VALUE!</v>
      </c>
      <c r="W105" s="55" t="e">
        <f>comexem</f>
        <v>#NAME?</v>
      </c>
    </row>
    <row r="106" spans="1:27">
      <c r="A106" s="222">
        <v>1.41499999999999</v>
      </c>
      <c r="B106" s="205" t="e">
        <f t="shared" si="32"/>
        <v>#VALUE!</v>
      </c>
      <c r="C106" s="34" t="e">
        <f t="shared" si="24"/>
        <v>#VALUE!</v>
      </c>
      <c r="D106" s="35" t="e">
        <f t="shared" si="25"/>
        <v>#VALUE!</v>
      </c>
      <c r="E106" s="35" t="e">
        <f t="shared" si="26"/>
        <v>#VALUE!</v>
      </c>
      <c r="F106" s="35" t="e">
        <f t="shared" si="27"/>
        <v>#VALUE!</v>
      </c>
      <c r="G106" s="35" t="e">
        <f t="shared" si="28"/>
        <v>#VALUE!</v>
      </c>
      <c r="H106" s="33" t="e">
        <f t="shared" si="33"/>
        <v>#VALUE!</v>
      </c>
      <c r="I106" s="13" t="e">
        <f t="shared" si="34"/>
        <v>#VALUE!</v>
      </c>
      <c r="J106" s="14" t="e">
        <f t="shared" si="35"/>
        <v>#VALUE!</v>
      </c>
      <c r="K106" s="14" t="e">
        <f t="shared" si="36"/>
        <v>#VALUE!</v>
      </c>
      <c r="L106" s="14" t="e">
        <f t="shared" si="37"/>
        <v>#VALUE!</v>
      </c>
      <c r="M106" s="14" t="e">
        <f t="shared" si="38"/>
        <v>#VALUE!</v>
      </c>
      <c r="N106" s="15" t="e">
        <f t="shared" si="39"/>
        <v>#VALUE!</v>
      </c>
      <c r="O106" s="36" t="e">
        <f t="shared" si="29"/>
        <v>#VALUE!</v>
      </c>
      <c r="P106" s="36" t="str">
        <f t="shared" si="30"/>
        <v xml:space="preserve"> </v>
      </c>
      <c r="Q106" s="36" t="e">
        <f>IF(ISBLANK(comexem)=TRUE,ROUND($K106/optioncom*1000,2),ROUND(($K106+$L106)/optioncomex*1000,2))</f>
        <v>#VALUE!</v>
      </c>
      <c r="R106" s="36" t="e">
        <f>IF(ISBLANK(comexem)=TRUE,ROUND($L106/optionind*1000,2),ROUND(($K106+$L106)/optioncomex*1000,2))</f>
        <v>#VALUE!</v>
      </c>
      <c r="S106" s="37" t="e">
        <f t="shared" si="31"/>
        <v>#VALUE!</v>
      </c>
      <c r="W106" s="55" t="e">
        <f>VALUE(W104*W105)</f>
        <v>#NAME?</v>
      </c>
    </row>
    <row r="107" spans="1:27">
      <c r="A107" s="222">
        <v>1.4199999999999899</v>
      </c>
      <c r="B107" s="205" t="e">
        <f t="shared" si="32"/>
        <v>#VALUE!</v>
      </c>
      <c r="C107" s="34" t="e">
        <f t="shared" si="24"/>
        <v>#VALUE!</v>
      </c>
      <c r="D107" s="35" t="e">
        <f t="shared" si="25"/>
        <v>#VALUE!</v>
      </c>
      <c r="E107" s="35" t="e">
        <f t="shared" si="26"/>
        <v>#VALUE!</v>
      </c>
      <c r="F107" s="35" t="e">
        <f t="shared" si="27"/>
        <v>#VALUE!</v>
      </c>
      <c r="G107" s="35" t="e">
        <f t="shared" si="28"/>
        <v>#VALUE!</v>
      </c>
      <c r="H107" s="33" t="e">
        <f t="shared" si="33"/>
        <v>#VALUE!</v>
      </c>
      <c r="I107" s="13" t="e">
        <f t="shared" si="34"/>
        <v>#VALUE!</v>
      </c>
      <c r="J107" s="14" t="e">
        <f t="shared" si="35"/>
        <v>#VALUE!</v>
      </c>
      <c r="K107" s="14" t="e">
        <f t="shared" si="36"/>
        <v>#VALUE!</v>
      </c>
      <c r="L107" s="14" t="e">
        <f t="shared" si="37"/>
        <v>#VALUE!</v>
      </c>
      <c r="M107" s="14" t="e">
        <f t="shared" si="38"/>
        <v>#VALUE!</v>
      </c>
      <c r="N107" s="15" t="e">
        <f t="shared" si="39"/>
        <v>#VALUE!</v>
      </c>
      <c r="O107" s="36" t="e">
        <f t="shared" si="29"/>
        <v>#VALUE!</v>
      </c>
      <c r="P107" s="36" t="str">
        <f t="shared" si="30"/>
        <v xml:space="preserve"> </v>
      </c>
      <c r="Q107" s="36" t="e">
        <f>IF(ISBLANK(comexem)=TRUE,ROUND($K107/optioncom*1000,2),ROUND(($K107+$L107)/optioncomex*1000,2))</f>
        <v>#VALUE!</v>
      </c>
      <c r="R107" s="36" t="e">
        <f>IF(ISBLANK(comexem)=TRUE,ROUND($L107/optionind*1000,2),ROUND(($K107+$L107)/optioncomex*1000,2))</f>
        <v>#VALUE!</v>
      </c>
      <c r="S107" s="37" t="e">
        <f t="shared" si="31"/>
        <v>#VALUE!</v>
      </c>
    </row>
    <row r="108" spans="1:27">
      <c r="A108" s="222">
        <v>1.4249999999999901</v>
      </c>
      <c r="B108" s="205" t="e">
        <f t="shared" si="32"/>
        <v>#VALUE!</v>
      </c>
      <c r="C108" s="34" t="e">
        <f t="shared" si="24"/>
        <v>#VALUE!</v>
      </c>
      <c r="D108" s="35" t="e">
        <f t="shared" si="25"/>
        <v>#VALUE!</v>
      </c>
      <c r="E108" s="35" t="e">
        <f t="shared" si="26"/>
        <v>#VALUE!</v>
      </c>
      <c r="F108" s="35" t="e">
        <f t="shared" si="27"/>
        <v>#VALUE!</v>
      </c>
      <c r="G108" s="35" t="e">
        <f t="shared" si="28"/>
        <v>#VALUE!</v>
      </c>
      <c r="H108" s="33" t="e">
        <f t="shared" si="33"/>
        <v>#VALUE!</v>
      </c>
      <c r="I108" s="13" t="e">
        <f t="shared" si="34"/>
        <v>#VALUE!</v>
      </c>
      <c r="J108" s="14" t="e">
        <f t="shared" si="35"/>
        <v>#VALUE!</v>
      </c>
      <c r="K108" s="14" t="e">
        <f t="shared" si="36"/>
        <v>#VALUE!</v>
      </c>
      <c r="L108" s="14" t="e">
        <f t="shared" si="37"/>
        <v>#VALUE!</v>
      </c>
      <c r="M108" s="14" t="e">
        <f t="shared" si="38"/>
        <v>#VALUE!</v>
      </c>
      <c r="N108" s="15" t="e">
        <f t="shared" si="39"/>
        <v>#VALUE!</v>
      </c>
      <c r="O108" s="36" t="e">
        <f t="shared" si="29"/>
        <v>#VALUE!</v>
      </c>
      <c r="P108" s="36" t="str">
        <f t="shared" si="30"/>
        <v xml:space="preserve"> </v>
      </c>
      <c r="Q108" s="36" t="e">
        <f>IF(ISBLANK(comexem)=TRUE,ROUND($K108/optioncom*1000,2),ROUND(($K108+$L108)/optioncomex*1000,2))</f>
        <v>#VALUE!</v>
      </c>
      <c r="R108" s="36" t="e">
        <f>IF(ISBLANK(comexem)=TRUE,ROUND($L108/optionind*1000,2),ROUND(($K108+$L108)/optioncomex*1000,2))</f>
        <v>#VALUE!</v>
      </c>
      <c r="S108" s="37" t="e">
        <f t="shared" si="31"/>
        <v>#VALUE!</v>
      </c>
      <c r="W108" s="55" t="s">
        <v>185</v>
      </c>
      <c r="X108" s="188" t="e">
        <f>(W106)</f>
        <v>#NAME?</v>
      </c>
    </row>
    <row r="109" spans="1:27">
      <c r="A109" s="222">
        <v>1.4299999999999899</v>
      </c>
      <c r="B109" s="205" t="e">
        <f t="shared" si="32"/>
        <v>#VALUE!</v>
      </c>
      <c r="C109" s="34" t="e">
        <f t="shared" si="24"/>
        <v>#VALUE!</v>
      </c>
      <c r="D109" s="35" t="e">
        <f t="shared" si="25"/>
        <v>#VALUE!</v>
      </c>
      <c r="E109" s="35" t="e">
        <f t="shared" si="26"/>
        <v>#VALUE!</v>
      </c>
      <c r="F109" s="35" t="e">
        <f t="shared" si="27"/>
        <v>#VALUE!</v>
      </c>
      <c r="G109" s="35" t="e">
        <f t="shared" si="28"/>
        <v>#VALUE!</v>
      </c>
      <c r="H109" s="33" t="e">
        <f t="shared" si="33"/>
        <v>#VALUE!</v>
      </c>
      <c r="I109" s="13" t="e">
        <f t="shared" si="34"/>
        <v>#VALUE!</v>
      </c>
      <c r="J109" s="14" t="e">
        <f t="shared" si="35"/>
        <v>#VALUE!</v>
      </c>
      <c r="K109" s="14" t="e">
        <f t="shared" si="36"/>
        <v>#VALUE!</v>
      </c>
      <c r="L109" s="14" t="e">
        <f t="shared" si="37"/>
        <v>#VALUE!</v>
      </c>
      <c r="M109" s="14" t="e">
        <f t="shared" si="38"/>
        <v>#VALUE!</v>
      </c>
      <c r="N109" s="15" t="e">
        <f t="shared" si="39"/>
        <v>#VALUE!</v>
      </c>
      <c r="O109" s="36" t="e">
        <f t="shared" si="29"/>
        <v>#VALUE!</v>
      </c>
      <c r="P109" s="36" t="str">
        <f t="shared" si="30"/>
        <v xml:space="preserve"> </v>
      </c>
      <c r="Q109" s="36" t="e">
        <f>IF(ISBLANK(comexem)=TRUE,ROUND($K109/optioncom*1000,2),ROUND(($K109+$L109)/optioncomex*1000,2))</f>
        <v>#VALUE!</v>
      </c>
      <c r="R109" s="36" t="e">
        <f>IF(ISBLANK(comexem)=TRUE,ROUND($L109/optionind*1000,2),ROUND(($K109+$L109)/optioncomex*1000,2))</f>
        <v>#VALUE!</v>
      </c>
      <c r="S109" s="37" t="e">
        <f t="shared" si="31"/>
        <v>#VALUE!</v>
      </c>
    </row>
    <row r="110" spans="1:27">
      <c r="A110" s="222">
        <v>1.4349999999999901</v>
      </c>
      <c r="B110" s="205" t="e">
        <f t="shared" si="32"/>
        <v>#VALUE!</v>
      </c>
      <c r="C110" s="34" t="e">
        <f t="shared" si="24"/>
        <v>#VALUE!</v>
      </c>
      <c r="D110" s="35" t="e">
        <f t="shared" si="25"/>
        <v>#VALUE!</v>
      </c>
      <c r="E110" s="35" t="e">
        <f t="shared" si="26"/>
        <v>#VALUE!</v>
      </c>
      <c r="F110" s="35" t="e">
        <f t="shared" si="27"/>
        <v>#VALUE!</v>
      </c>
      <c r="G110" s="35" t="e">
        <f t="shared" si="28"/>
        <v>#VALUE!</v>
      </c>
      <c r="H110" s="33" t="e">
        <f t="shared" si="33"/>
        <v>#VALUE!</v>
      </c>
      <c r="I110" s="13" t="e">
        <f t="shared" si="34"/>
        <v>#VALUE!</v>
      </c>
      <c r="J110" s="14" t="e">
        <f t="shared" si="35"/>
        <v>#VALUE!</v>
      </c>
      <c r="K110" s="14" t="e">
        <f t="shared" si="36"/>
        <v>#VALUE!</v>
      </c>
      <c r="L110" s="14" t="e">
        <f t="shared" si="37"/>
        <v>#VALUE!</v>
      </c>
      <c r="M110" s="14" t="e">
        <f t="shared" si="38"/>
        <v>#VALUE!</v>
      </c>
      <c r="N110" s="15" t="e">
        <f t="shared" si="39"/>
        <v>#VALUE!</v>
      </c>
      <c r="O110" s="36" t="e">
        <f t="shared" si="29"/>
        <v>#VALUE!</v>
      </c>
      <c r="P110" s="36" t="str">
        <f t="shared" si="30"/>
        <v xml:space="preserve"> </v>
      </c>
      <c r="Q110" s="36" t="e">
        <f>IF(ISBLANK(comexem)=TRUE,ROUND($K110/optioncom*1000,2),ROUND(($K110+$L110)/optioncomex*1000,2))</f>
        <v>#VALUE!</v>
      </c>
      <c r="R110" s="36" t="e">
        <f>IF(ISBLANK(comexem)=TRUE,ROUND($L110/optionind*1000,2),ROUND(($K110+$L110)/optioncomex*1000,2))</f>
        <v>#VALUE!</v>
      </c>
      <c r="S110" s="37" t="e">
        <f t="shared" si="31"/>
        <v>#VALUE!</v>
      </c>
    </row>
    <row r="111" spans="1:27">
      <c r="A111" s="222">
        <v>1.43999999999999</v>
      </c>
      <c r="B111" s="205" t="e">
        <f t="shared" si="32"/>
        <v>#VALUE!</v>
      </c>
      <c r="C111" s="34" t="e">
        <f t="shared" si="24"/>
        <v>#VALUE!</v>
      </c>
      <c r="D111" s="35" t="e">
        <f t="shared" si="25"/>
        <v>#VALUE!</v>
      </c>
      <c r="E111" s="35" t="e">
        <f t="shared" si="26"/>
        <v>#VALUE!</v>
      </c>
      <c r="F111" s="35" t="e">
        <f t="shared" si="27"/>
        <v>#VALUE!</v>
      </c>
      <c r="G111" s="35" t="e">
        <f t="shared" si="28"/>
        <v>#VALUE!</v>
      </c>
      <c r="H111" s="33" t="e">
        <f t="shared" si="33"/>
        <v>#VALUE!</v>
      </c>
      <c r="I111" s="13" t="e">
        <f t="shared" si="34"/>
        <v>#VALUE!</v>
      </c>
      <c r="J111" s="14" t="e">
        <f t="shared" si="35"/>
        <v>#VALUE!</v>
      </c>
      <c r="K111" s="14" t="e">
        <f t="shared" si="36"/>
        <v>#VALUE!</v>
      </c>
      <c r="L111" s="14" t="e">
        <f t="shared" si="37"/>
        <v>#VALUE!</v>
      </c>
      <c r="M111" s="14" t="e">
        <f t="shared" si="38"/>
        <v>#VALUE!</v>
      </c>
      <c r="N111" s="15" t="e">
        <f t="shared" si="39"/>
        <v>#VALUE!</v>
      </c>
      <c r="O111" s="36" t="e">
        <f t="shared" si="29"/>
        <v>#VALUE!</v>
      </c>
      <c r="P111" s="36" t="str">
        <f t="shared" si="30"/>
        <v xml:space="preserve"> </v>
      </c>
      <c r="Q111" s="36" t="e">
        <f>IF(ISBLANK(comexem)=TRUE,ROUND($K111/optioncom*1000,2),ROUND(($K111+$L111)/optioncomex*1000,2))</f>
        <v>#VALUE!</v>
      </c>
      <c r="R111" s="36" t="e">
        <f>IF(ISBLANK(comexem)=TRUE,ROUND($L111/optionind*1000,2),ROUND(($K111+$L111)/optioncomex*1000,2))</f>
        <v>#VALUE!</v>
      </c>
      <c r="S111" s="37" t="e">
        <f t="shared" si="31"/>
        <v>#VALUE!</v>
      </c>
    </row>
    <row r="112" spans="1:27">
      <c r="A112" s="222">
        <v>1.4449999999999901</v>
      </c>
      <c r="B112" s="205" t="e">
        <f t="shared" si="32"/>
        <v>#VALUE!</v>
      </c>
      <c r="C112" s="34" t="e">
        <f t="shared" si="24"/>
        <v>#VALUE!</v>
      </c>
      <c r="D112" s="35" t="e">
        <f t="shared" si="25"/>
        <v>#VALUE!</v>
      </c>
      <c r="E112" s="35" t="e">
        <f t="shared" si="26"/>
        <v>#VALUE!</v>
      </c>
      <c r="F112" s="35" t="e">
        <f t="shared" si="27"/>
        <v>#VALUE!</v>
      </c>
      <c r="G112" s="35" t="e">
        <f t="shared" si="28"/>
        <v>#VALUE!</v>
      </c>
      <c r="H112" s="33" t="e">
        <f t="shared" si="33"/>
        <v>#VALUE!</v>
      </c>
      <c r="I112" s="13" t="e">
        <f t="shared" si="34"/>
        <v>#VALUE!</v>
      </c>
      <c r="J112" s="14" t="e">
        <f t="shared" si="35"/>
        <v>#VALUE!</v>
      </c>
      <c r="K112" s="14" t="e">
        <f t="shared" si="36"/>
        <v>#VALUE!</v>
      </c>
      <c r="L112" s="14" t="e">
        <f t="shared" si="37"/>
        <v>#VALUE!</v>
      </c>
      <c r="M112" s="14" t="e">
        <f t="shared" si="38"/>
        <v>#VALUE!</v>
      </c>
      <c r="N112" s="15" t="e">
        <f t="shared" si="39"/>
        <v>#VALUE!</v>
      </c>
      <c r="O112" s="36" t="e">
        <f t="shared" si="29"/>
        <v>#VALUE!</v>
      </c>
      <c r="P112" s="36" t="str">
        <f t="shared" si="30"/>
        <v xml:space="preserve"> </v>
      </c>
      <c r="Q112" s="36" t="e">
        <f>IF(ISBLANK(comexem)=TRUE,ROUND($K112/optioncom*1000,2),ROUND(($K112+$L112)/optioncomex*1000,2))</f>
        <v>#VALUE!</v>
      </c>
      <c r="R112" s="36" t="e">
        <f>IF(ISBLANK(comexem)=TRUE,ROUND($L112/optionind*1000,2),ROUND(($K112+$L112)/optioncomex*1000,2))</f>
        <v>#VALUE!</v>
      </c>
      <c r="S112" s="37" t="e">
        <f t="shared" si="31"/>
        <v>#VALUE!</v>
      </c>
      <c r="V112" s="182" t="e">
        <f>SUM(W112*100)</f>
        <v>#VALUE!</v>
      </c>
      <c r="W112" s="182" t="str">
        <f>optionrespct</f>
        <v/>
      </c>
      <c r="Y112" s="182" t="e">
        <f>IF(shiftper=0,V112,resshift)</f>
        <v>#VALUE!</v>
      </c>
      <c r="AA112" s="182" t="e">
        <f>ROUND(Y112,4)</f>
        <v>#VALUE!</v>
      </c>
    </row>
    <row r="113" spans="1:27">
      <c r="A113" s="222">
        <v>1.44999999999999</v>
      </c>
      <c r="B113" s="205" t="e">
        <f t="shared" si="32"/>
        <v>#VALUE!</v>
      </c>
      <c r="C113" s="34" t="e">
        <f t="shared" si="24"/>
        <v>#VALUE!</v>
      </c>
      <c r="D113" s="35" t="e">
        <f t="shared" si="25"/>
        <v>#VALUE!</v>
      </c>
      <c r="E113" s="35" t="e">
        <f t="shared" si="26"/>
        <v>#VALUE!</v>
      </c>
      <c r="F113" s="35" t="e">
        <f t="shared" si="27"/>
        <v>#VALUE!</v>
      </c>
      <c r="G113" s="35" t="e">
        <f t="shared" si="28"/>
        <v>#VALUE!</v>
      </c>
      <c r="H113" s="33" t="e">
        <f t="shared" si="33"/>
        <v>#VALUE!</v>
      </c>
      <c r="I113" s="13" t="e">
        <f t="shared" si="34"/>
        <v>#VALUE!</v>
      </c>
      <c r="J113" s="14" t="e">
        <f t="shared" si="35"/>
        <v>#VALUE!</v>
      </c>
      <c r="K113" s="14" t="e">
        <f t="shared" si="36"/>
        <v>#VALUE!</v>
      </c>
      <c r="L113" s="14" t="e">
        <f t="shared" si="37"/>
        <v>#VALUE!</v>
      </c>
      <c r="M113" s="14" t="e">
        <f t="shared" si="38"/>
        <v>#VALUE!</v>
      </c>
      <c r="N113" s="15" t="e">
        <f t="shared" si="39"/>
        <v>#VALUE!</v>
      </c>
      <c r="O113" s="36" t="e">
        <f t="shared" si="29"/>
        <v>#VALUE!</v>
      </c>
      <c r="P113" s="36" t="str">
        <f t="shared" si="30"/>
        <v xml:space="preserve"> </v>
      </c>
      <c r="Q113" s="36" t="e">
        <f>IF(ISBLANK(comexem)=TRUE,ROUND($K113/optioncom*1000,2),ROUND(($K113+$L113)/optioncomex*1000,2))</f>
        <v>#VALUE!</v>
      </c>
      <c r="R113" s="36" t="e">
        <f>IF(ISBLANK(comexem)=TRUE,ROUND($L113/optionind*1000,2),ROUND(($K113+$L113)/optioncomex*1000,2))</f>
        <v>#VALUE!</v>
      </c>
      <c r="S113" s="37" t="e">
        <f t="shared" si="31"/>
        <v>#VALUE!</v>
      </c>
      <c r="V113" s="182" t="e">
        <f t="shared" ref="V113:V116" si="40">SUM(W113*100)</f>
        <v>#VALUE!</v>
      </c>
      <c r="W113" s="182" t="str">
        <f>optionospct</f>
        <v/>
      </c>
      <c r="Y113" s="182" t="e">
        <f>IF(shiftper=0,V113,opshift)</f>
        <v>#VALUE!</v>
      </c>
      <c r="AA113" s="182" t="e">
        <f>ROUND(Y113,4)</f>
        <v>#VALUE!</v>
      </c>
    </row>
    <row r="114" spans="1:27">
      <c r="A114" s="222">
        <v>1.4549999999999901</v>
      </c>
      <c r="B114" s="205" t="e">
        <f t="shared" si="32"/>
        <v>#VALUE!</v>
      </c>
      <c r="C114" s="34" t="e">
        <f t="shared" si="24"/>
        <v>#VALUE!</v>
      </c>
      <c r="D114" s="35" t="e">
        <f t="shared" si="25"/>
        <v>#VALUE!</v>
      </c>
      <c r="E114" s="35" t="e">
        <f t="shared" si="26"/>
        <v>#VALUE!</v>
      </c>
      <c r="F114" s="35" t="e">
        <f t="shared" si="27"/>
        <v>#VALUE!</v>
      </c>
      <c r="G114" s="35" t="e">
        <f t="shared" si="28"/>
        <v>#VALUE!</v>
      </c>
      <c r="H114" s="33" t="e">
        <f t="shared" si="33"/>
        <v>#VALUE!</v>
      </c>
      <c r="I114" s="13" t="e">
        <f t="shared" si="34"/>
        <v>#VALUE!</v>
      </c>
      <c r="J114" s="14" t="e">
        <f t="shared" si="35"/>
        <v>#VALUE!</v>
      </c>
      <c r="K114" s="14" t="e">
        <f t="shared" si="36"/>
        <v>#VALUE!</v>
      </c>
      <c r="L114" s="14" t="e">
        <f t="shared" si="37"/>
        <v>#VALUE!</v>
      </c>
      <c r="M114" s="14" t="e">
        <f t="shared" si="38"/>
        <v>#VALUE!</v>
      </c>
      <c r="N114" s="15" t="e">
        <f t="shared" si="39"/>
        <v>#VALUE!</v>
      </c>
      <c r="O114" s="36" t="e">
        <f t="shared" si="29"/>
        <v>#VALUE!</v>
      </c>
      <c r="P114" s="36" t="str">
        <f t="shared" si="30"/>
        <v xml:space="preserve"> </v>
      </c>
      <c r="Q114" s="36" t="e">
        <f>IF(ISBLANK(comexem)=TRUE,ROUND($K114/optioncom*1000,2),ROUND(($K114+$L114)/optioncomex*1000,2))</f>
        <v>#VALUE!</v>
      </c>
      <c r="R114" s="36" t="e">
        <f>IF(ISBLANK(comexem)=TRUE,ROUND($L114/optionind*1000,2),ROUND(($K114+$L114)/optioncomex*1000,2))</f>
        <v>#VALUE!</v>
      </c>
      <c r="S114" s="37" t="e">
        <f t="shared" si="31"/>
        <v>#VALUE!</v>
      </c>
      <c r="V114" s="182" t="e">
        <f t="shared" si="40"/>
        <v>#VALUE!</v>
      </c>
      <c r="W114" s="182" t="str">
        <f>optioncompct</f>
        <v/>
      </c>
      <c r="Y114" s="182" t="e">
        <f>IF(shiftper=0,V114,comshift)</f>
        <v>#VALUE!</v>
      </c>
      <c r="AA114" s="182" t="e">
        <f>ROUND(Y114,4)</f>
        <v>#VALUE!</v>
      </c>
    </row>
    <row r="115" spans="1:27">
      <c r="A115" s="222">
        <v>1.45999999999999</v>
      </c>
      <c r="B115" s="205" t="e">
        <f t="shared" si="32"/>
        <v>#VALUE!</v>
      </c>
      <c r="C115" s="34" t="e">
        <f t="shared" si="24"/>
        <v>#VALUE!</v>
      </c>
      <c r="D115" s="35" t="e">
        <f t="shared" si="25"/>
        <v>#VALUE!</v>
      </c>
      <c r="E115" s="35" t="e">
        <f t="shared" si="26"/>
        <v>#VALUE!</v>
      </c>
      <c r="F115" s="35" t="e">
        <f t="shared" si="27"/>
        <v>#VALUE!</v>
      </c>
      <c r="G115" s="35" t="e">
        <f t="shared" si="28"/>
        <v>#VALUE!</v>
      </c>
      <c r="H115" s="33" t="e">
        <f t="shared" si="33"/>
        <v>#VALUE!</v>
      </c>
      <c r="I115" s="13" t="e">
        <f t="shared" si="34"/>
        <v>#VALUE!</v>
      </c>
      <c r="J115" s="14" t="e">
        <f t="shared" si="35"/>
        <v>#VALUE!</v>
      </c>
      <c r="K115" s="14" t="e">
        <f t="shared" si="36"/>
        <v>#VALUE!</v>
      </c>
      <c r="L115" s="14" t="e">
        <f t="shared" si="37"/>
        <v>#VALUE!</v>
      </c>
      <c r="M115" s="14" t="e">
        <f t="shared" si="38"/>
        <v>#VALUE!</v>
      </c>
      <c r="N115" s="15" t="e">
        <f t="shared" si="39"/>
        <v>#VALUE!</v>
      </c>
      <c r="O115" s="36" t="e">
        <f t="shared" si="29"/>
        <v>#VALUE!</v>
      </c>
      <c r="P115" s="36" t="str">
        <f t="shared" si="30"/>
        <v xml:space="preserve"> </v>
      </c>
      <c r="Q115" s="36" t="e">
        <f>IF(ISBLANK(comexem)=TRUE,ROUND($K115/optioncom*1000,2),ROUND(($K115+$L115)/optioncomex*1000,2))</f>
        <v>#VALUE!</v>
      </c>
      <c r="R115" s="36" t="e">
        <f>IF(ISBLANK(comexem)=TRUE,ROUND($L115/optionind*1000,2),ROUND(($K115+$L115)/optioncomex*1000,2))</f>
        <v>#VALUE!</v>
      </c>
      <c r="S115" s="37" t="e">
        <f t="shared" si="31"/>
        <v>#VALUE!</v>
      </c>
      <c r="V115" s="182" t="e">
        <f t="shared" si="40"/>
        <v>#VALUE!</v>
      </c>
      <c r="W115" s="182" t="str">
        <f>optionindpct</f>
        <v/>
      </c>
      <c r="Y115" s="182" t="e">
        <f>IF(shiftper=0,V115,indshift)</f>
        <v>#VALUE!</v>
      </c>
      <c r="AA115" s="182" t="e">
        <f>ROUND(Y115,4)</f>
        <v>#VALUE!</v>
      </c>
    </row>
    <row r="116" spans="1:27">
      <c r="A116" s="222">
        <v>1.4649999999999901</v>
      </c>
      <c r="B116" s="205" t="e">
        <f t="shared" si="32"/>
        <v>#VALUE!</v>
      </c>
      <c r="C116" s="34" t="e">
        <f t="shared" si="24"/>
        <v>#VALUE!</v>
      </c>
      <c r="D116" s="35" t="e">
        <f t="shared" si="25"/>
        <v>#VALUE!</v>
      </c>
      <c r="E116" s="35" t="e">
        <f t="shared" si="26"/>
        <v>#VALUE!</v>
      </c>
      <c r="F116" s="35" t="e">
        <f t="shared" si="27"/>
        <v>#VALUE!</v>
      </c>
      <c r="G116" s="35" t="e">
        <f t="shared" si="28"/>
        <v>#VALUE!</v>
      </c>
      <c r="H116" s="33" t="e">
        <f t="shared" si="33"/>
        <v>#VALUE!</v>
      </c>
      <c r="I116" s="13" t="e">
        <f t="shared" si="34"/>
        <v>#VALUE!</v>
      </c>
      <c r="J116" s="14" t="e">
        <f t="shared" si="35"/>
        <v>#VALUE!</v>
      </c>
      <c r="K116" s="14" t="e">
        <f t="shared" si="36"/>
        <v>#VALUE!</v>
      </c>
      <c r="L116" s="14" t="e">
        <f t="shared" si="37"/>
        <v>#VALUE!</v>
      </c>
      <c r="M116" s="14" t="e">
        <f t="shared" si="38"/>
        <v>#VALUE!</v>
      </c>
      <c r="N116" s="15" t="e">
        <f t="shared" si="39"/>
        <v>#VALUE!</v>
      </c>
      <c r="O116" s="36" t="e">
        <f t="shared" si="29"/>
        <v>#VALUE!</v>
      </c>
      <c r="P116" s="36" t="str">
        <f t="shared" si="30"/>
        <v xml:space="preserve"> </v>
      </c>
      <c r="Q116" s="36" t="e">
        <f>IF(ISBLANK(comexem)=TRUE,ROUND($K116/optioncom*1000,2),ROUND(($K116+$L116)/optioncomex*1000,2))</f>
        <v>#VALUE!</v>
      </c>
      <c r="R116" s="36" t="e">
        <f>IF(ISBLANK(comexem)=TRUE,ROUND($L116/optionind*1000,2),ROUND(($K116+$L116)/optioncomex*1000,2))</f>
        <v>#VALUE!</v>
      </c>
      <c r="S116" s="37" t="e">
        <f t="shared" si="31"/>
        <v>#VALUE!</v>
      </c>
      <c r="V116" s="182" t="e">
        <f t="shared" si="40"/>
        <v>#VALUE!</v>
      </c>
      <c r="W116" s="182" t="str">
        <f>optionpppct</f>
        <v/>
      </c>
      <c r="Y116" s="182" t="e">
        <f>IF(shiftper=0,V116,ppshift)</f>
        <v>#VALUE!</v>
      </c>
      <c r="AA116" s="182" t="e">
        <f>ROUND(Y116,4)</f>
        <v>#VALUE!</v>
      </c>
    </row>
    <row r="117" spans="1:27">
      <c r="A117" s="222">
        <v>1.46999999999999</v>
      </c>
      <c r="B117" s="205" t="e">
        <f t="shared" si="32"/>
        <v>#VALUE!</v>
      </c>
      <c r="C117" s="34" t="e">
        <f t="shared" si="24"/>
        <v>#VALUE!</v>
      </c>
      <c r="D117" s="35" t="e">
        <f t="shared" si="25"/>
        <v>#VALUE!</v>
      </c>
      <c r="E117" s="35" t="e">
        <f t="shared" si="26"/>
        <v>#VALUE!</v>
      </c>
      <c r="F117" s="35" t="e">
        <f t="shared" si="27"/>
        <v>#VALUE!</v>
      </c>
      <c r="G117" s="35" t="e">
        <f t="shared" si="28"/>
        <v>#VALUE!</v>
      </c>
      <c r="H117" s="33" t="e">
        <f t="shared" si="33"/>
        <v>#VALUE!</v>
      </c>
      <c r="I117" s="13" t="e">
        <f t="shared" si="34"/>
        <v>#VALUE!</v>
      </c>
      <c r="J117" s="14" t="e">
        <f t="shared" si="35"/>
        <v>#VALUE!</v>
      </c>
      <c r="K117" s="14" t="e">
        <f t="shared" si="36"/>
        <v>#VALUE!</v>
      </c>
      <c r="L117" s="14" t="e">
        <f t="shared" si="37"/>
        <v>#VALUE!</v>
      </c>
      <c r="M117" s="14" t="e">
        <f t="shared" si="38"/>
        <v>#VALUE!</v>
      </c>
      <c r="N117" s="15" t="e">
        <f t="shared" si="39"/>
        <v>#VALUE!</v>
      </c>
      <c r="O117" s="36" t="e">
        <f t="shared" si="29"/>
        <v>#VALUE!</v>
      </c>
      <c r="P117" s="36" t="str">
        <f t="shared" si="30"/>
        <v xml:space="preserve"> </v>
      </c>
      <c r="Q117" s="36" t="e">
        <f>IF(ISBLANK(comexem)=TRUE,ROUND($K117/optioncom*1000,2),ROUND(($K117+$L117)/optioncomex*1000,2))</f>
        <v>#VALUE!</v>
      </c>
      <c r="R117" s="36" t="e">
        <f>IF(ISBLANK(comexem)=TRUE,ROUND($L117/optionind*1000,2),ROUND(($K117+$L117)/optioncomex*1000,2))</f>
        <v>#VALUE!</v>
      </c>
      <c r="S117" s="37" t="e">
        <f t="shared" si="31"/>
        <v>#VALUE!</v>
      </c>
    </row>
    <row r="118" spans="1:27">
      <c r="A118" s="222">
        <v>1.4749999999999901</v>
      </c>
      <c r="B118" s="205" t="e">
        <f t="shared" si="32"/>
        <v>#VALUE!</v>
      </c>
      <c r="C118" s="34" t="e">
        <f t="shared" si="24"/>
        <v>#VALUE!</v>
      </c>
      <c r="D118" s="35" t="e">
        <f t="shared" si="25"/>
        <v>#VALUE!</v>
      </c>
      <c r="E118" s="35" t="e">
        <f t="shared" si="26"/>
        <v>#VALUE!</v>
      </c>
      <c r="F118" s="35" t="e">
        <f t="shared" si="27"/>
        <v>#VALUE!</v>
      </c>
      <c r="G118" s="35" t="e">
        <f t="shared" si="28"/>
        <v>#VALUE!</v>
      </c>
      <c r="H118" s="33" t="e">
        <f t="shared" si="33"/>
        <v>#VALUE!</v>
      </c>
      <c r="I118" s="13" t="e">
        <f t="shared" si="34"/>
        <v>#VALUE!</v>
      </c>
      <c r="J118" s="14" t="e">
        <f t="shared" si="35"/>
        <v>#VALUE!</v>
      </c>
      <c r="K118" s="14" t="e">
        <f t="shared" si="36"/>
        <v>#VALUE!</v>
      </c>
      <c r="L118" s="14" t="e">
        <f t="shared" si="37"/>
        <v>#VALUE!</v>
      </c>
      <c r="M118" s="14" t="e">
        <f t="shared" si="38"/>
        <v>#VALUE!</v>
      </c>
      <c r="N118" s="15" t="e">
        <f t="shared" si="39"/>
        <v>#VALUE!</v>
      </c>
      <c r="O118" s="36" t="e">
        <f t="shared" si="29"/>
        <v>#VALUE!</v>
      </c>
      <c r="P118" s="36" t="str">
        <f t="shared" si="30"/>
        <v xml:space="preserve"> </v>
      </c>
      <c r="Q118" s="36" t="e">
        <f>IF(ISBLANK(comexem)=TRUE,ROUND($K118/optioncom*1000,2),ROUND(($K118+$L118)/optioncomex*1000,2))</f>
        <v>#VALUE!</v>
      </c>
      <c r="R118" s="36" t="e">
        <f>IF(ISBLANK(comexem)=TRUE,ROUND($L118/optionind*1000,2),ROUND(($K118+$L118)/optioncomex*1000,2))</f>
        <v>#VALUE!</v>
      </c>
      <c r="S118" s="37" t="e">
        <f t="shared" si="31"/>
        <v>#VALUE!</v>
      </c>
      <c r="AA118" s="55" t="s">
        <v>194</v>
      </c>
    </row>
    <row r="119" spans="1:27">
      <c r="A119" s="222">
        <v>1.47999999999999</v>
      </c>
      <c r="B119" s="205" t="e">
        <f t="shared" si="32"/>
        <v>#VALUE!</v>
      </c>
      <c r="C119" s="34" t="e">
        <f t="shared" si="24"/>
        <v>#VALUE!</v>
      </c>
      <c r="D119" s="35" t="e">
        <f t="shared" si="25"/>
        <v>#VALUE!</v>
      </c>
      <c r="E119" s="35" t="e">
        <f t="shared" si="26"/>
        <v>#VALUE!</v>
      </c>
      <c r="F119" s="35" t="e">
        <f t="shared" si="27"/>
        <v>#VALUE!</v>
      </c>
      <c r="G119" s="35" t="e">
        <f t="shared" si="28"/>
        <v>#VALUE!</v>
      </c>
      <c r="H119" s="33" t="e">
        <f t="shared" si="33"/>
        <v>#VALUE!</v>
      </c>
      <c r="I119" s="13" t="e">
        <f t="shared" si="34"/>
        <v>#VALUE!</v>
      </c>
      <c r="J119" s="14" t="e">
        <f t="shared" si="35"/>
        <v>#VALUE!</v>
      </c>
      <c r="K119" s="14" t="e">
        <f t="shared" si="36"/>
        <v>#VALUE!</v>
      </c>
      <c r="L119" s="14" t="e">
        <f t="shared" si="37"/>
        <v>#VALUE!</v>
      </c>
      <c r="M119" s="14" t="e">
        <f t="shared" si="38"/>
        <v>#VALUE!</v>
      </c>
      <c r="N119" s="15" t="e">
        <f t="shared" si="39"/>
        <v>#VALUE!</v>
      </c>
      <c r="O119" s="36" t="e">
        <f t="shared" si="29"/>
        <v>#VALUE!</v>
      </c>
      <c r="P119" s="36" t="str">
        <f t="shared" si="30"/>
        <v xml:space="preserve"> </v>
      </c>
      <c r="Q119" s="36" t="e">
        <f>IF(ISBLANK(comexem)=TRUE,ROUND($K119/optioncom*1000,2),ROUND(($K119+$L119)/optioncomex*1000,2))</f>
        <v>#VALUE!</v>
      </c>
      <c r="R119" s="36" t="e">
        <f>IF(ISBLANK(comexem)=TRUE,ROUND($L119/optionind*1000,2),ROUND(($K119+$L119)/optioncomex*1000,2))</f>
        <v>#VALUE!</v>
      </c>
      <c r="S119" s="37" t="e">
        <f t="shared" si="31"/>
        <v>#VALUE!</v>
      </c>
      <c r="Y119" s="55" t="s">
        <v>193</v>
      </c>
    </row>
    <row r="120" spans="1:27">
      <c r="A120" s="222">
        <v>1.4849999999999901</v>
      </c>
      <c r="B120" s="205" t="e">
        <f t="shared" si="32"/>
        <v>#VALUE!</v>
      </c>
      <c r="C120" s="34" t="e">
        <f t="shared" si="24"/>
        <v>#VALUE!</v>
      </c>
      <c r="D120" s="35" t="e">
        <f t="shared" si="25"/>
        <v>#VALUE!</v>
      </c>
      <c r="E120" s="35" t="e">
        <f t="shared" si="26"/>
        <v>#VALUE!</v>
      </c>
      <c r="F120" s="35" t="e">
        <f t="shared" si="27"/>
        <v>#VALUE!</v>
      </c>
      <c r="G120" s="35" t="e">
        <f t="shared" si="28"/>
        <v>#VALUE!</v>
      </c>
      <c r="H120" s="33" t="e">
        <f t="shared" si="33"/>
        <v>#VALUE!</v>
      </c>
      <c r="I120" s="13" t="e">
        <f t="shared" si="34"/>
        <v>#VALUE!</v>
      </c>
      <c r="J120" s="14" t="e">
        <f t="shared" si="35"/>
        <v>#VALUE!</v>
      </c>
      <c r="K120" s="14" t="e">
        <f t="shared" si="36"/>
        <v>#VALUE!</v>
      </c>
      <c r="L120" s="14" t="e">
        <f t="shared" si="37"/>
        <v>#VALUE!</v>
      </c>
      <c r="M120" s="14" t="e">
        <f t="shared" si="38"/>
        <v>#VALUE!</v>
      </c>
      <c r="N120" s="15" t="e">
        <f t="shared" si="39"/>
        <v>#VALUE!</v>
      </c>
      <c r="O120" s="36" t="e">
        <f t="shared" si="29"/>
        <v>#VALUE!</v>
      </c>
      <c r="P120" s="36" t="str">
        <f t="shared" si="30"/>
        <v xml:space="preserve"> </v>
      </c>
      <c r="Q120" s="36" t="e">
        <f>IF(ISBLANK(comexem)=TRUE,ROUND($K120/optioncom*1000,2),ROUND(($K120+$L120)/optioncomex*1000,2))</f>
        <v>#VALUE!</v>
      </c>
      <c r="R120" s="36" t="e">
        <f>IF(ISBLANK(comexem)=TRUE,ROUND($L120/optionind*1000,2),ROUND(($K120+$L120)/optioncomex*1000,2))</f>
        <v>#VALUE!</v>
      </c>
      <c r="S120" s="37" t="e">
        <f t="shared" si="31"/>
        <v>#VALUE!</v>
      </c>
    </row>
    <row r="121" spans="1:27">
      <c r="A121" s="222">
        <v>1.48999999999999</v>
      </c>
      <c r="B121" s="205" t="e">
        <f t="shared" si="32"/>
        <v>#VALUE!</v>
      </c>
      <c r="C121" s="34" t="e">
        <f t="shared" si="24"/>
        <v>#VALUE!</v>
      </c>
      <c r="D121" s="35" t="e">
        <f t="shared" si="25"/>
        <v>#VALUE!</v>
      </c>
      <c r="E121" s="35" t="e">
        <f t="shared" si="26"/>
        <v>#VALUE!</v>
      </c>
      <c r="F121" s="35" t="e">
        <f t="shared" si="27"/>
        <v>#VALUE!</v>
      </c>
      <c r="G121" s="35" t="e">
        <f t="shared" si="28"/>
        <v>#VALUE!</v>
      </c>
      <c r="H121" s="33" t="e">
        <f t="shared" si="33"/>
        <v>#VALUE!</v>
      </c>
      <c r="I121" s="13" t="e">
        <f t="shared" si="34"/>
        <v>#VALUE!</v>
      </c>
      <c r="J121" s="14" t="e">
        <f t="shared" si="35"/>
        <v>#VALUE!</v>
      </c>
      <c r="K121" s="14" t="e">
        <f t="shared" si="36"/>
        <v>#VALUE!</v>
      </c>
      <c r="L121" s="14" t="e">
        <f t="shared" si="37"/>
        <v>#VALUE!</v>
      </c>
      <c r="M121" s="14" t="e">
        <f t="shared" si="38"/>
        <v>#VALUE!</v>
      </c>
      <c r="N121" s="15" t="e">
        <f t="shared" si="39"/>
        <v>#VALUE!</v>
      </c>
      <c r="O121" s="36" t="e">
        <f t="shared" si="29"/>
        <v>#VALUE!</v>
      </c>
      <c r="P121" s="36" t="str">
        <f t="shared" si="30"/>
        <v xml:space="preserve"> </v>
      </c>
      <c r="Q121" s="36" t="e">
        <f>IF(ISBLANK(comexem)=TRUE,ROUND($K121/optioncom*1000,2),ROUND(($K121+$L121)/optioncomex*1000,2))</f>
        <v>#VALUE!</v>
      </c>
      <c r="R121" s="36" t="e">
        <f>IF(ISBLANK(comexem)=TRUE,ROUND($L121/optionind*1000,2),ROUND(($K121+$L121)/optioncomex*1000,2))</f>
        <v>#VALUE!</v>
      </c>
      <c r="S121" s="37" t="e">
        <f t="shared" si="31"/>
        <v>#VALUE!</v>
      </c>
    </row>
    <row r="122" spans="1:27">
      <c r="A122" s="222">
        <v>1.4949999999999899</v>
      </c>
      <c r="B122" s="205" t="e">
        <f t="shared" si="32"/>
        <v>#VALUE!</v>
      </c>
      <c r="C122" s="34" t="e">
        <f t="shared" si="24"/>
        <v>#VALUE!</v>
      </c>
      <c r="D122" s="35" t="e">
        <f t="shared" si="25"/>
        <v>#VALUE!</v>
      </c>
      <c r="E122" s="35" t="e">
        <f t="shared" si="26"/>
        <v>#VALUE!</v>
      </c>
      <c r="F122" s="35" t="e">
        <f t="shared" si="27"/>
        <v>#VALUE!</v>
      </c>
      <c r="G122" s="35" t="e">
        <f t="shared" si="28"/>
        <v>#VALUE!</v>
      </c>
      <c r="H122" s="33" t="e">
        <f t="shared" si="33"/>
        <v>#VALUE!</v>
      </c>
      <c r="I122" s="13" t="e">
        <f t="shared" si="34"/>
        <v>#VALUE!</v>
      </c>
      <c r="J122" s="14" t="e">
        <f t="shared" si="35"/>
        <v>#VALUE!</v>
      </c>
      <c r="K122" s="14" t="e">
        <f t="shared" si="36"/>
        <v>#VALUE!</v>
      </c>
      <c r="L122" s="14" t="e">
        <f t="shared" si="37"/>
        <v>#VALUE!</v>
      </c>
      <c r="M122" s="14" t="e">
        <f t="shared" si="38"/>
        <v>#VALUE!</v>
      </c>
      <c r="N122" s="15" t="e">
        <f t="shared" si="39"/>
        <v>#VALUE!</v>
      </c>
      <c r="O122" s="36" t="e">
        <f t="shared" si="29"/>
        <v>#VALUE!</v>
      </c>
      <c r="P122" s="36" t="str">
        <f t="shared" si="30"/>
        <v xml:space="preserve"> </v>
      </c>
      <c r="Q122" s="36" t="e">
        <f>IF(ISBLANK(comexem)=TRUE,ROUND($K122/optioncom*1000,2),ROUND(($K122+$L122)/optioncomex*1000,2))</f>
        <v>#VALUE!</v>
      </c>
      <c r="R122" s="36" t="e">
        <f>IF(ISBLANK(comexem)=TRUE,ROUND($L122/optionind*1000,2),ROUND(($K122+$L122)/optioncomex*1000,2))</f>
        <v>#VALUE!</v>
      </c>
      <c r="S122" s="37" t="e">
        <f t="shared" si="31"/>
        <v>#VALUE!</v>
      </c>
    </row>
    <row r="123" spans="1:27">
      <c r="A123" s="222">
        <v>1.49999999999999</v>
      </c>
      <c r="B123" s="205" t="e">
        <f t="shared" si="32"/>
        <v>#VALUE!</v>
      </c>
      <c r="C123" s="34" t="e">
        <f t="shared" si="24"/>
        <v>#VALUE!</v>
      </c>
      <c r="D123" s="35" t="e">
        <f t="shared" si="25"/>
        <v>#VALUE!</v>
      </c>
      <c r="E123" s="35" t="e">
        <f t="shared" si="26"/>
        <v>#VALUE!</v>
      </c>
      <c r="F123" s="35" t="e">
        <f t="shared" si="27"/>
        <v>#VALUE!</v>
      </c>
      <c r="G123" s="35" t="e">
        <f t="shared" si="28"/>
        <v>#VALUE!</v>
      </c>
      <c r="H123" s="33" t="e">
        <f t="shared" si="33"/>
        <v>#VALUE!</v>
      </c>
      <c r="I123" s="13" t="e">
        <f t="shared" si="34"/>
        <v>#VALUE!</v>
      </c>
      <c r="J123" s="14" t="e">
        <f t="shared" si="35"/>
        <v>#VALUE!</v>
      </c>
      <c r="K123" s="14" t="e">
        <f t="shared" si="36"/>
        <v>#VALUE!</v>
      </c>
      <c r="L123" s="14" t="e">
        <f t="shared" si="37"/>
        <v>#VALUE!</v>
      </c>
      <c r="M123" s="14" t="e">
        <f t="shared" si="38"/>
        <v>#VALUE!</v>
      </c>
      <c r="N123" s="15" t="e">
        <f t="shared" si="39"/>
        <v>#VALUE!</v>
      </c>
      <c r="O123" s="36" t="e">
        <f t="shared" si="29"/>
        <v>#VALUE!</v>
      </c>
      <c r="P123" s="36" t="str">
        <f t="shared" si="30"/>
        <v xml:space="preserve"> </v>
      </c>
      <c r="Q123" s="36" t="e">
        <f>IF(ISBLANK(comexem)=TRUE,ROUND($K123/optioncom*1000,2),ROUND(($K123+$L123)/optioncomex*1000,2))</f>
        <v>#VALUE!</v>
      </c>
      <c r="R123" s="36" t="e">
        <f>IF(ISBLANK(comexem)=TRUE,ROUND($L123/optionind*1000,2),ROUND(($K123+$L123)/optioncomex*1000,2))</f>
        <v>#VALUE!</v>
      </c>
      <c r="S123" s="37" t="e">
        <f t="shared" si="31"/>
        <v>#VALUE!</v>
      </c>
    </row>
    <row r="124" spans="1:27">
      <c r="A124" s="222">
        <v>1.5049999999999899</v>
      </c>
      <c r="B124" s="205" t="e">
        <f t="shared" si="32"/>
        <v>#VALUE!</v>
      </c>
      <c r="C124" s="34" t="e">
        <f t="shared" si="24"/>
        <v>#VALUE!</v>
      </c>
      <c r="D124" s="35" t="e">
        <f t="shared" si="25"/>
        <v>#VALUE!</v>
      </c>
      <c r="E124" s="35" t="e">
        <f t="shared" si="26"/>
        <v>#VALUE!</v>
      </c>
      <c r="F124" s="35" t="e">
        <f t="shared" si="27"/>
        <v>#VALUE!</v>
      </c>
      <c r="G124" s="35" t="e">
        <f t="shared" si="28"/>
        <v>#VALUE!</v>
      </c>
      <c r="H124" s="33" t="e">
        <f t="shared" si="33"/>
        <v>#VALUE!</v>
      </c>
      <c r="I124" s="13" t="e">
        <f t="shared" si="34"/>
        <v>#VALUE!</v>
      </c>
      <c r="J124" s="14" t="e">
        <f t="shared" si="35"/>
        <v>#VALUE!</v>
      </c>
      <c r="K124" s="14" t="e">
        <f t="shared" si="36"/>
        <v>#VALUE!</v>
      </c>
      <c r="L124" s="14" t="e">
        <f t="shared" si="37"/>
        <v>#VALUE!</v>
      </c>
      <c r="M124" s="14" t="e">
        <f t="shared" si="38"/>
        <v>#VALUE!</v>
      </c>
      <c r="N124" s="15" t="e">
        <f t="shared" si="39"/>
        <v>#VALUE!</v>
      </c>
      <c r="O124" s="36" t="e">
        <f t="shared" si="29"/>
        <v>#VALUE!</v>
      </c>
      <c r="P124" s="36" t="str">
        <f t="shared" si="30"/>
        <v xml:space="preserve"> </v>
      </c>
      <c r="Q124" s="36" t="e">
        <f>IF(ISBLANK(comexem)=TRUE,ROUND($K124/optioncom*1000,2),ROUND(($K124+$L124)/optioncomex*1000,2))</f>
        <v>#VALUE!</v>
      </c>
      <c r="R124" s="36" t="e">
        <f>IF(ISBLANK(comexem)=TRUE,ROUND($L124/optionind*1000,2),ROUND(($K124+$L124)/optioncomex*1000,2))</f>
        <v>#VALUE!</v>
      </c>
      <c r="S124" s="37" t="e">
        <f t="shared" si="31"/>
        <v>#VALUE!</v>
      </c>
    </row>
    <row r="125" spans="1:27">
      <c r="A125" s="222">
        <v>1.50999999999999</v>
      </c>
      <c r="B125" s="205" t="e">
        <f t="shared" si="32"/>
        <v>#VALUE!</v>
      </c>
      <c r="C125" s="34" t="e">
        <f t="shared" si="24"/>
        <v>#VALUE!</v>
      </c>
      <c r="D125" s="35" t="e">
        <f t="shared" si="25"/>
        <v>#VALUE!</v>
      </c>
      <c r="E125" s="35" t="e">
        <f t="shared" si="26"/>
        <v>#VALUE!</v>
      </c>
      <c r="F125" s="35" t="e">
        <f t="shared" si="27"/>
        <v>#VALUE!</v>
      </c>
      <c r="G125" s="35" t="e">
        <f t="shared" si="28"/>
        <v>#VALUE!</v>
      </c>
      <c r="H125" s="33" t="e">
        <f t="shared" si="33"/>
        <v>#VALUE!</v>
      </c>
      <c r="I125" s="13" t="e">
        <f t="shared" si="34"/>
        <v>#VALUE!</v>
      </c>
      <c r="J125" s="14" t="e">
        <f t="shared" si="35"/>
        <v>#VALUE!</v>
      </c>
      <c r="K125" s="14" t="e">
        <f t="shared" si="36"/>
        <v>#VALUE!</v>
      </c>
      <c r="L125" s="14" t="e">
        <f t="shared" si="37"/>
        <v>#VALUE!</v>
      </c>
      <c r="M125" s="14" t="e">
        <f t="shared" si="38"/>
        <v>#VALUE!</v>
      </c>
      <c r="N125" s="15" t="e">
        <f t="shared" si="39"/>
        <v>#VALUE!</v>
      </c>
      <c r="O125" s="36" t="e">
        <f t="shared" si="29"/>
        <v>#VALUE!</v>
      </c>
      <c r="P125" s="36" t="str">
        <f t="shared" si="30"/>
        <v xml:space="preserve"> </v>
      </c>
      <c r="Q125" s="36" t="e">
        <f>IF(ISBLANK(comexem)=TRUE,ROUND($K125/optioncom*1000,2),ROUND(($K125+$L125)/optioncomex*1000,2))</f>
        <v>#VALUE!</v>
      </c>
      <c r="R125" s="36" t="e">
        <f>IF(ISBLANK(comexem)=TRUE,ROUND($L125/optionind*1000,2),ROUND(($K125+$L125)/optioncomex*1000,2))</f>
        <v>#VALUE!</v>
      </c>
      <c r="S125" s="37" t="e">
        <f t="shared" si="31"/>
        <v>#VALUE!</v>
      </c>
    </row>
    <row r="126" spans="1:27">
      <c r="A126" s="222">
        <v>1.5149999999999899</v>
      </c>
      <c r="B126" s="205" t="e">
        <f t="shared" si="32"/>
        <v>#VALUE!</v>
      </c>
      <c r="C126" s="34" t="e">
        <f t="shared" si="24"/>
        <v>#VALUE!</v>
      </c>
      <c r="D126" s="35" t="e">
        <f t="shared" si="25"/>
        <v>#VALUE!</v>
      </c>
      <c r="E126" s="35" t="e">
        <f t="shared" si="26"/>
        <v>#VALUE!</v>
      </c>
      <c r="F126" s="35" t="e">
        <f t="shared" si="27"/>
        <v>#VALUE!</v>
      </c>
      <c r="G126" s="35" t="e">
        <f t="shared" si="28"/>
        <v>#VALUE!</v>
      </c>
      <c r="H126" s="33" t="e">
        <f t="shared" si="33"/>
        <v>#VALUE!</v>
      </c>
      <c r="I126" s="13" t="e">
        <f t="shared" si="34"/>
        <v>#VALUE!</v>
      </c>
      <c r="J126" s="14" t="e">
        <f t="shared" si="35"/>
        <v>#VALUE!</v>
      </c>
      <c r="K126" s="14" t="e">
        <f t="shared" si="36"/>
        <v>#VALUE!</v>
      </c>
      <c r="L126" s="14" t="e">
        <f t="shared" si="37"/>
        <v>#VALUE!</v>
      </c>
      <c r="M126" s="14" t="e">
        <f t="shared" si="38"/>
        <v>#VALUE!</v>
      </c>
      <c r="N126" s="15" t="e">
        <f t="shared" si="39"/>
        <v>#VALUE!</v>
      </c>
      <c r="O126" s="36" t="e">
        <f t="shared" si="29"/>
        <v>#VALUE!</v>
      </c>
      <c r="P126" s="36" t="str">
        <f t="shared" si="30"/>
        <v xml:space="preserve"> </v>
      </c>
      <c r="Q126" s="36" t="e">
        <f>IF(ISBLANK(comexem)=TRUE,ROUND($K126/optioncom*1000,2),ROUND(($K126+$L126)/optioncomex*1000,2))</f>
        <v>#VALUE!</v>
      </c>
      <c r="R126" s="36" t="e">
        <f>IF(ISBLANK(comexem)=TRUE,ROUND($L126/optionind*1000,2),ROUND(($K126+$L126)/optioncomex*1000,2))</f>
        <v>#VALUE!</v>
      </c>
      <c r="S126" s="37" t="e">
        <f t="shared" si="31"/>
        <v>#VALUE!</v>
      </c>
    </row>
    <row r="127" spans="1:27">
      <c r="A127" s="222">
        <v>1.51999999999999</v>
      </c>
      <c r="B127" s="205" t="e">
        <f t="shared" si="32"/>
        <v>#VALUE!</v>
      </c>
      <c r="C127" s="34" t="e">
        <f t="shared" si="24"/>
        <v>#VALUE!</v>
      </c>
      <c r="D127" s="35" t="e">
        <f t="shared" si="25"/>
        <v>#VALUE!</v>
      </c>
      <c r="E127" s="35" t="e">
        <f t="shared" si="26"/>
        <v>#VALUE!</v>
      </c>
      <c r="F127" s="35" t="e">
        <f t="shared" si="27"/>
        <v>#VALUE!</v>
      </c>
      <c r="G127" s="35" t="e">
        <f t="shared" si="28"/>
        <v>#VALUE!</v>
      </c>
      <c r="H127" s="33" t="e">
        <f t="shared" si="33"/>
        <v>#VALUE!</v>
      </c>
      <c r="I127" s="13" t="e">
        <f t="shared" si="34"/>
        <v>#VALUE!</v>
      </c>
      <c r="J127" s="14" t="e">
        <f t="shared" si="35"/>
        <v>#VALUE!</v>
      </c>
      <c r="K127" s="14" t="e">
        <f t="shared" si="36"/>
        <v>#VALUE!</v>
      </c>
      <c r="L127" s="14" t="e">
        <f t="shared" si="37"/>
        <v>#VALUE!</v>
      </c>
      <c r="M127" s="14" t="e">
        <f t="shared" si="38"/>
        <v>#VALUE!</v>
      </c>
      <c r="N127" s="15" t="e">
        <f t="shared" si="39"/>
        <v>#VALUE!</v>
      </c>
      <c r="O127" s="36" t="e">
        <f t="shared" si="29"/>
        <v>#VALUE!</v>
      </c>
      <c r="P127" s="36" t="str">
        <f t="shared" si="30"/>
        <v xml:space="preserve"> </v>
      </c>
      <c r="Q127" s="36" t="e">
        <f>IF(ISBLANK(comexem)=TRUE,ROUND($K127/optioncom*1000,2),ROUND(($K127+$L127)/optioncomex*1000,2))</f>
        <v>#VALUE!</v>
      </c>
      <c r="R127" s="36" t="e">
        <f>IF(ISBLANK(comexem)=TRUE,ROUND($L127/optionind*1000,2),ROUND(($K127+$L127)/optioncomex*1000,2))</f>
        <v>#VALUE!</v>
      </c>
      <c r="S127" s="37" t="e">
        <f t="shared" si="31"/>
        <v>#VALUE!</v>
      </c>
    </row>
    <row r="128" spans="1:27">
      <c r="A128" s="222">
        <v>1.5249999999999899</v>
      </c>
      <c r="B128" s="205" t="e">
        <f t="shared" si="32"/>
        <v>#VALUE!</v>
      </c>
      <c r="C128" s="34" t="e">
        <f t="shared" si="24"/>
        <v>#VALUE!</v>
      </c>
      <c r="D128" s="35" t="e">
        <f t="shared" si="25"/>
        <v>#VALUE!</v>
      </c>
      <c r="E128" s="35" t="e">
        <f t="shared" si="26"/>
        <v>#VALUE!</v>
      </c>
      <c r="F128" s="35" t="e">
        <f t="shared" si="27"/>
        <v>#VALUE!</v>
      </c>
      <c r="G128" s="35" t="e">
        <f t="shared" si="28"/>
        <v>#VALUE!</v>
      </c>
      <c r="H128" s="33" t="e">
        <f t="shared" si="33"/>
        <v>#VALUE!</v>
      </c>
      <c r="I128" s="13" t="e">
        <f t="shared" si="34"/>
        <v>#VALUE!</v>
      </c>
      <c r="J128" s="14" t="e">
        <f t="shared" si="35"/>
        <v>#VALUE!</v>
      </c>
      <c r="K128" s="14" t="e">
        <f t="shared" si="36"/>
        <v>#VALUE!</v>
      </c>
      <c r="L128" s="14" t="e">
        <f t="shared" si="37"/>
        <v>#VALUE!</v>
      </c>
      <c r="M128" s="14" t="e">
        <f t="shared" si="38"/>
        <v>#VALUE!</v>
      </c>
      <c r="N128" s="15" t="e">
        <f t="shared" si="39"/>
        <v>#VALUE!</v>
      </c>
      <c r="O128" s="36" t="e">
        <f t="shared" si="29"/>
        <v>#VALUE!</v>
      </c>
      <c r="P128" s="36" t="str">
        <f t="shared" si="30"/>
        <v xml:space="preserve"> </v>
      </c>
      <c r="Q128" s="36" t="e">
        <f>IF(ISBLANK(comexem)=TRUE,ROUND($K128/optioncom*1000,2),ROUND(($K128+$L128)/optioncomex*1000,2))</f>
        <v>#VALUE!</v>
      </c>
      <c r="R128" s="36" t="e">
        <f>IF(ISBLANK(comexem)=TRUE,ROUND($L128/optionind*1000,2),ROUND(($K128+$L128)/optioncomex*1000,2))</f>
        <v>#VALUE!</v>
      </c>
      <c r="S128" s="37" t="e">
        <f t="shared" si="31"/>
        <v>#VALUE!</v>
      </c>
    </row>
    <row r="129" spans="1:19">
      <c r="A129" s="222">
        <v>1.52999999999999</v>
      </c>
      <c r="B129" s="205" t="e">
        <f t="shared" si="32"/>
        <v>#VALUE!</v>
      </c>
      <c r="C129" s="34" t="e">
        <f t="shared" si="24"/>
        <v>#VALUE!</v>
      </c>
      <c r="D129" s="35" t="e">
        <f t="shared" si="25"/>
        <v>#VALUE!</v>
      </c>
      <c r="E129" s="35" t="e">
        <f t="shared" si="26"/>
        <v>#VALUE!</v>
      </c>
      <c r="F129" s="35" t="e">
        <f t="shared" si="27"/>
        <v>#VALUE!</v>
      </c>
      <c r="G129" s="35" t="e">
        <f t="shared" si="28"/>
        <v>#VALUE!</v>
      </c>
      <c r="H129" s="33" t="e">
        <f t="shared" si="33"/>
        <v>#VALUE!</v>
      </c>
      <c r="I129" s="13" t="e">
        <f t="shared" si="34"/>
        <v>#VALUE!</v>
      </c>
      <c r="J129" s="14" t="e">
        <f t="shared" si="35"/>
        <v>#VALUE!</v>
      </c>
      <c r="K129" s="14" t="e">
        <f t="shared" si="36"/>
        <v>#VALUE!</v>
      </c>
      <c r="L129" s="14" t="e">
        <f t="shared" si="37"/>
        <v>#VALUE!</v>
      </c>
      <c r="M129" s="14" t="e">
        <f t="shared" si="38"/>
        <v>#VALUE!</v>
      </c>
      <c r="N129" s="15" t="e">
        <f t="shared" si="39"/>
        <v>#VALUE!</v>
      </c>
      <c r="O129" s="36" t="e">
        <f t="shared" si="29"/>
        <v>#VALUE!</v>
      </c>
      <c r="P129" s="36" t="str">
        <f t="shared" si="30"/>
        <v xml:space="preserve"> </v>
      </c>
      <c r="Q129" s="36" t="e">
        <f>IF(ISBLANK(comexem)=TRUE,ROUND($K129/optioncom*1000,2),ROUND(($K129+$L129)/optioncomex*1000,2))</f>
        <v>#VALUE!</v>
      </c>
      <c r="R129" s="36" t="e">
        <f>IF(ISBLANK(comexem)=TRUE,ROUND($L129/optionind*1000,2),ROUND(($K129+$L129)/optioncomex*1000,2))</f>
        <v>#VALUE!</v>
      </c>
      <c r="S129" s="37" t="e">
        <f t="shared" si="31"/>
        <v>#VALUE!</v>
      </c>
    </row>
    <row r="130" spans="1:19">
      <c r="A130" s="222">
        <v>1.5349999999999899</v>
      </c>
      <c r="B130" s="205" t="e">
        <f t="shared" si="32"/>
        <v>#VALUE!</v>
      </c>
      <c r="C130" s="34" t="e">
        <f t="shared" si="24"/>
        <v>#VALUE!</v>
      </c>
      <c r="D130" s="35" t="e">
        <f t="shared" si="25"/>
        <v>#VALUE!</v>
      </c>
      <c r="E130" s="35" t="e">
        <f t="shared" si="26"/>
        <v>#VALUE!</v>
      </c>
      <c r="F130" s="35" t="e">
        <f t="shared" si="27"/>
        <v>#VALUE!</v>
      </c>
      <c r="G130" s="35" t="e">
        <f t="shared" si="28"/>
        <v>#VALUE!</v>
      </c>
      <c r="H130" s="33" t="e">
        <f t="shared" si="33"/>
        <v>#VALUE!</v>
      </c>
      <c r="I130" s="13" t="e">
        <f t="shared" si="34"/>
        <v>#VALUE!</v>
      </c>
      <c r="J130" s="14" t="e">
        <f t="shared" si="35"/>
        <v>#VALUE!</v>
      </c>
      <c r="K130" s="14" t="e">
        <f t="shared" si="36"/>
        <v>#VALUE!</v>
      </c>
      <c r="L130" s="14" t="e">
        <f t="shared" si="37"/>
        <v>#VALUE!</v>
      </c>
      <c r="M130" s="14" t="e">
        <f t="shared" si="38"/>
        <v>#VALUE!</v>
      </c>
      <c r="N130" s="15" t="e">
        <f t="shared" si="39"/>
        <v>#VALUE!</v>
      </c>
      <c r="O130" s="36" t="e">
        <f t="shared" si="29"/>
        <v>#VALUE!</v>
      </c>
      <c r="P130" s="36" t="str">
        <f t="shared" si="30"/>
        <v xml:space="preserve"> </v>
      </c>
      <c r="Q130" s="36" t="e">
        <f>IF(ISBLANK(comexem)=TRUE,ROUND($K130/optioncom*1000,2),ROUND(($K130+$L130)/optioncomex*1000,2))</f>
        <v>#VALUE!</v>
      </c>
      <c r="R130" s="36" t="e">
        <f>IF(ISBLANK(comexem)=TRUE,ROUND($L130/optionind*1000,2),ROUND(($K130+$L130)/optioncomex*1000,2))</f>
        <v>#VALUE!</v>
      </c>
      <c r="S130" s="37" t="e">
        <f t="shared" si="31"/>
        <v>#VALUE!</v>
      </c>
    </row>
    <row r="131" spans="1:19">
      <c r="A131" s="222">
        <v>1.53999999999999</v>
      </c>
      <c r="B131" s="205" t="e">
        <f t="shared" si="32"/>
        <v>#VALUE!</v>
      </c>
      <c r="C131" s="34" t="e">
        <f t="shared" si="24"/>
        <v>#VALUE!</v>
      </c>
      <c r="D131" s="35" t="e">
        <f t="shared" si="25"/>
        <v>#VALUE!</v>
      </c>
      <c r="E131" s="35" t="e">
        <f t="shared" si="26"/>
        <v>#VALUE!</v>
      </c>
      <c r="F131" s="35" t="e">
        <f t="shared" si="27"/>
        <v>#VALUE!</v>
      </c>
      <c r="G131" s="35" t="e">
        <f t="shared" si="28"/>
        <v>#VALUE!</v>
      </c>
      <c r="H131" s="33" t="e">
        <f t="shared" si="33"/>
        <v>#VALUE!</v>
      </c>
      <c r="I131" s="13" t="e">
        <f t="shared" si="34"/>
        <v>#VALUE!</v>
      </c>
      <c r="J131" s="14" t="e">
        <f t="shared" si="35"/>
        <v>#VALUE!</v>
      </c>
      <c r="K131" s="14" t="e">
        <f t="shared" si="36"/>
        <v>#VALUE!</v>
      </c>
      <c r="L131" s="14" t="e">
        <f t="shared" si="37"/>
        <v>#VALUE!</v>
      </c>
      <c r="M131" s="14" t="e">
        <f t="shared" si="38"/>
        <v>#VALUE!</v>
      </c>
      <c r="N131" s="15" t="e">
        <f t="shared" si="39"/>
        <v>#VALUE!</v>
      </c>
      <c r="O131" s="36" t="e">
        <f t="shared" si="29"/>
        <v>#VALUE!</v>
      </c>
      <c r="P131" s="36" t="str">
        <f t="shared" si="30"/>
        <v xml:space="preserve"> </v>
      </c>
      <c r="Q131" s="36" t="e">
        <f>IF(ISBLANK(comexem)=TRUE,ROUND($K131/optioncom*1000,2),ROUND(($K131+$L131)/optioncomex*1000,2))</f>
        <v>#VALUE!</v>
      </c>
      <c r="R131" s="36" t="e">
        <f>IF(ISBLANK(comexem)=TRUE,ROUND($L131/optionind*1000,2),ROUND(($K131+$L131)/optioncomex*1000,2))</f>
        <v>#VALUE!</v>
      </c>
      <c r="S131" s="37" t="e">
        <f t="shared" si="31"/>
        <v>#VALUE!</v>
      </c>
    </row>
    <row r="132" spans="1:19">
      <c r="A132" s="222">
        <v>1.5449999999999899</v>
      </c>
      <c r="B132" s="205" t="e">
        <f t="shared" si="32"/>
        <v>#VALUE!</v>
      </c>
      <c r="C132" s="34" t="e">
        <f t="shared" si="24"/>
        <v>#VALUE!</v>
      </c>
      <c r="D132" s="35" t="e">
        <f t="shared" si="25"/>
        <v>#VALUE!</v>
      </c>
      <c r="E132" s="35" t="e">
        <f t="shared" si="26"/>
        <v>#VALUE!</v>
      </c>
      <c r="F132" s="35" t="e">
        <f t="shared" si="27"/>
        <v>#VALUE!</v>
      </c>
      <c r="G132" s="35" t="e">
        <f t="shared" si="28"/>
        <v>#VALUE!</v>
      </c>
      <c r="H132" s="33" t="e">
        <f t="shared" si="33"/>
        <v>#VALUE!</v>
      </c>
      <c r="I132" s="13" t="e">
        <f t="shared" si="34"/>
        <v>#VALUE!</v>
      </c>
      <c r="J132" s="14" t="e">
        <f t="shared" si="35"/>
        <v>#VALUE!</v>
      </c>
      <c r="K132" s="14" t="e">
        <f t="shared" si="36"/>
        <v>#VALUE!</v>
      </c>
      <c r="L132" s="14" t="e">
        <f t="shared" si="37"/>
        <v>#VALUE!</v>
      </c>
      <c r="M132" s="14" t="e">
        <f t="shared" si="38"/>
        <v>#VALUE!</v>
      </c>
      <c r="N132" s="15" t="e">
        <f t="shared" si="39"/>
        <v>#VALUE!</v>
      </c>
      <c r="O132" s="36" t="e">
        <f t="shared" si="29"/>
        <v>#VALUE!</v>
      </c>
      <c r="P132" s="36" t="str">
        <f t="shared" si="30"/>
        <v xml:space="preserve"> </v>
      </c>
      <c r="Q132" s="36" t="e">
        <f>IF(ISBLANK(comexem)=TRUE,ROUND($K132/optioncom*1000,2),ROUND(($K132+$L132)/optioncomex*1000,2))</f>
        <v>#VALUE!</v>
      </c>
      <c r="R132" s="36" t="e">
        <f>IF(ISBLANK(comexem)=TRUE,ROUND($L132/optionind*1000,2),ROUND(($K132+$L132)/optioncomex*1000,2))</f>
        <v>#VALUE!</v>
      </c>
      <c r="S132" s="37" t="e">
        <f t="shared" si="31"/>
        <v>#VALUE!</v>
      </c>
    </row>
    <row r="133" spans="1:19">
      <c r="A133" s="222">
        <v>1.5499999999999901</v>
      </c>
      <c r="B133" s="205" t="e">
        <f t="shared" si="32"/>
        <v>#VALUE!</v>
      </c>
      <c r="C133" s="34" t="e">
        <f t="shared" si="24"/>
        <v>#VALUE!</v>
      </c>
      <c r="D133" s="35" t="e">
        <f t="shared" si="25"/>
        <v>#VALUE!</v>
      </c>
      <c r="E133" s="35" t="e">
        <f t="shared" si="26"/>
        <v>#VALUE!</v>
      </c>
      <c r="F133" s="35" t="e">
        <f t="shared" si="27"/>
        <v>#VALUE!</v>
      </c>
      <c r="G133" s="35" t="e">
        <f t="shared" si="28"/>
        <v>#VALUE!</v>
      </c>
      <c r="H133" s="33" t="e">
        <f t="shared" si="33"/>
        <v>#VALUE!</v>
      </c>
      <c r="I133" s="13" t="e">
        <f t="shared" si="34"/>
        <v>#VALUE!</v>
      </c>
      <c r="J133" s="14" t="e">
        <f t="shared" si="35"/>
        <v>#VALUE!</v>
      </c>
      <c r="K133" s="14" t="e">
        <f t="shared" si="36"/>
        <v>#VALUE!</v>
      </c>
      <c r="L133" s="14" t="e">
        <f t="shared" si="37"/>
        <v>#VALUE!</v>
      </c>
      <c r="M133" s="14" t="e">
        <f t="shared" si="38"/>
        <v>#VALUE!</v>
      </c>
      <c r="N133" s="15" t="e">
        <f t="shared" si="39"/>
        <v>#VALUE!</v>
      </c>
      <c r="O133" s="36" t="e">
        <f t="shared" si="29"/>
        <v>#VALUE!</v>
      </c>
      <c r="P133" s="36" t="str">
        <f t="shared" si="30"/>
        <v xml:space="preserve"> </v>
      </c>
      <c r="Q133" s="36" t="e">
        <f>IF(ISBLANK(comexem)=TRUE,ROUND($K133/optioncom*1000,2),ROUND(($K133+$L133)/optioncomex*1000,2))</f>
        <v>#VALUE!</v>
      </c>
      <c r="R133" s="36" t="e">
        <f>IF(ISBLANK(comexem)=TRUE,ROUND($L133/optionind*1000,2),ROUND(($K133+$L133)/optioncomex*1000,2))</f>
        <v>#VALUE!</v>
      </c>
      <c r="S133" s="37" t="e">
        <f t="shared" si="31"/>
        <v>#VALUE!</v>
      </c>
    </row>
    <row r="134" spans="1:19">
      <c r="A134" s="222">
        <v>1.5549999999999899</v>
      </c>
      <c r="B134" s="205" t="e">
        <f t="shared" si="32"/>
        <v>#VALUE!</v>
      </c>
      <c r="C134" s="34" t="e">
        <f t="shared" si="24"/>
        <v>#VALUE!</v>
      </c>
      <c r="D134" s="35" t="e">
        <f t="shared" si="25"/>
        <v>#VALUE!</v>
      </c>
      <c r="E134" s="35" t="e">
        <f t="shared" si="26"/>
        <v>#VALUE!</v>
      </c>
      <c r="F134" s="35" t="e">
        <f t="shared" si="27"/>
        <v>#VALUE!</v>
      </c>
      <c r="G134" s="35" t="e">
        <f t="shared" si="28"/>
        <v>#VALUE!</v>
      </c>
      <c r="H134" s="33" t="e">
        <f t="shared" si="33"/>
        <v>#VALUE!</v>
      </c>
      <c r="I134" s="13" t="e">
        <f t="shared" si="34"/>
        <v>#VALUE!</v>
      </c>
      <c r="J134" s="14" t="e">
        <f t="shared" si="35"/>
        <v>#VALUE!</v>
      </c>
      <c r="K134" s="14" t="e">
        <f t="shared" si="36"/>
        <v>#VALUE!</v>
      </c>
      <c r="L134" s="14" t="e">
        <f t="shared" si="37"/>
        <v>#VALUE!</v>
      </c>
      <c r="M134" s="14" t="e">
        <f t="shared" si="38"/>
        <v>#VALUE!</v>
      </c>
      <c r="N134" s="15" t="e">
        <f t="shared" si="39"/>
        <v>#VALUE!</v>
      </c>
      <c r="O134" s="36" t="e">
        <f t="shared" si="29"/>
        <v>#VALUE!</v>
      </c>
      <c r="P134" s="36" t="str">
        <f t="shared" si="30"/>
        <v xml:space="preserve"> </v>
      </c>
      <c r="Q134" s="36" t="e">
        <f>IF(ISBLANK(comexem)=TRUE,ROUND($K134/optioncom*1000,2),ROUND(($K134+$L134)/optioncomex*1000,2))</f>
        <v>#VALUE!</v>
      </c>
      <c r="R134" s="36" t="e">
        <f>IF(ISBLANK(comexem)=TRUE,ROUND($L134/optionind*1000,2),ROUND(($K134+$L134)/optioncomex*1000,2))</f>
        <v>#VALUE!</v>
      </c>
      <c r="S134" s="37" t="e">
        <f t="shared" si="31"/>
        <v>#VALUE!</v>
      </c>
    </row>
    <row r="135" spans="1:19">
      <c r="A135" s="222">
        <v>1.5599999999999901</v>
      </c>
      <c r="B135" s="205" t="e">
        <f t="shared" si="32"/>
        <v>#VALUE!</v>
      </c>
      <c r="C135" s="34" t="e">
        <f t="shared" si="24"/>
        <v>#VALUE!</v>
      </c>
      <c r="D135" s="35" t="e">
        <f t="shared" si="25"/>
        <v>#VALUE!</v>
      </c>
      <c r="E135" s="35" t="e">
        <f t="shared" si="26"/>
        <v>#VALUE!</v>
      </c>
      <c r="F135" s="35" t="e">
        <f t="shared" si="27"/>
        <v>#VALUE!</v>
      </c>
      <c r="G135" s="35" t="e">
        <f t="shared" si="28"/>
        <v>#VALUE!</v>
      </c>
      <c r="H135" s="33" t="e">
        <f t="shared" si="33"/>
        <v>#VALUE!</v>
      </c>
      <c r="I135" s="13" t="e">
        <f t="shared" si="34"/>
        <v>#VALUE!</v>
      </c>
      <c r="J135" s="14" t="e">
        <f t="shared" si="35"/>
        <v>#VALUE!</v>
      </c>
      <c r="K135" s="14" t="e">
        <f t="shared" si="36"/>
        <v>#VALUE!</v>
      </c>
      <c r="L135" s="14" t="e">
        <f t="shared" si="37"/>
        <v>#VALUE!</v>
      </c>
      <c r="M135" s="14" t="e">
        <f t="shared" si="38"/>
        <v>#VALUE!</v>
      </c>
      <c r="N135" s="15" t="e">
        <f t="shared" si="39"/>
        <v>#VALUE!</v>
      </c>
      <c r="O135" s="36" t="e">
        <f t="shared" si="29"/>
        <v>#VALUE!</v>
      </c>
      <c r="P135" s="36" t="str">
        <f t="shared" si="30"/>
        <v xml:space="preserve"> </v>
      </c>
      <c r="Q135" s="36" t="e">
        <f>IF(ISBLANK(comexem)=TRUE,ROUND($K135/optioncom*1000,2),ROUND(($K135+$L135)/optioncomex*1000,2))</f>
        <v>#VALUE!</v>
      </c>
      <c r="R135" s="36" t="e">
        <f>IF(ISBLANK(comexem)=TRUE,ROUND($L135/optionind*1000,2),ROUND(($K135+$L135)/optioncomex*1000,2))</f>
        <v>#VALUE!</v>
      </c>
      <c r="S135" s="37" t="e">
        <f t="shared" si="31"/>
        <v>#VALUE!</v>
      </c>
    </row>
    <row r="136" spans="1:19">
      <c r="A136" s="222">
        <v>1.56499999999999</v>
      </c>
      <c r="B136" s="205" t="e">
        <f t="shared" si="32"/>
        <v>#VALUE!</v>
      </c>
      <c r="C136" s="34" t="e">
        <f t="shared" si="24"/>
        <v>#VALUE!</v>
      </c>
      <c r="D136" s="35" t="e">
        <f t="shared" si="25"/>
        <v>#VALUE!</v>
      </c>
      <c r="E136" s="35" t="e">
        <f t="shared" si="26"/>
        <v>#VALUE!</v>
      </c>
      <c r="F136" s="35" t="e">
        <f t="shared" si="27"/>
        <v>#VALUE!</v>
      </c>
      <c r="G136" s="35" t="e">
        <f t="shared" si="28"/>
        <v>#VALUE!</v>
      </c>
      <c r="H136" s="33" t="e">
        <f t="shared" si="33"/>
        <v>#VALUE!</v>
      </c>
      <c r="I136" s="13" t="e">
        <f t="shared" si="34"/>
        <v>#VALUE!</v>
      </c>
      <c r="J136" s="14" t="e">
        <f t="shared" si="35"/>
        <v>#VALUE!</v>
      </c>
      <c r="K136" s="14" t="e">
        <f t="shared" si="36"/>
        <v>#VALUE!</v>
      </c>
      <c r="L136" s="14" t="e">
        <f t="shared" si="37"/>
        <v>#VALUE!</v>
      </c>
      <c r="M136" s="14" t="e">
        <f t="shared" si="38"/>
        <v>#VALUE!</v>
      </c>
      <c r="N136" s="15" t="e">
        <f t="shared" si="39"/>
        <v>#VALUE!</v>
      </c>
      <c r="O136" s="36" t="e">
        <f t="shared" si="29"/>
        <v>#VALUE!</v>
      </c>
      <c r="P136" s="36" t="str">
        <f t="shared" si="30"/>
        <v xml:space="preserve"> </v>
      </c>
      <c r="Q136" s="36" t="e">
        <f>IF(ISBLANK(comexem)=TRUE,ROUND($K136/optioncom*1000,2),ROUND(($K136+$L136)/optioncomex*1000,2))</f>
        <v>#VALUE!</v>
      </c>
      <c r="R136" s="36" t="e">
        <f>IF(ISBLANK(comexem)=TRUE,ROUND($L136/optionind*1000,2),ROUND(($K136+$L136)/optioncomex*1000,2))</f>
        <v>#VALUE!</v>
      </c>
      <c r="S136" s="37" t="e">
        <f t="shared" si="31"/>
        <v>#VALUE!</v>
      </c>
    </row>
    <row r="137" spans="1:19">
      <c r="A137" s="222">
        <v>1.5699999999999901</v>
      </c>
      <c r="B137" s="205" t="e">
        <f t="shared" si="32"/>
        <v>#VALUE!</v>
      </c>
      <c r="C137" s="34" t="e">
        <f t="shared" si="24"/>
        <v>#VALUE!</v>
      </c>
      <c r="D137" s="35" t="e">
        <f t="shared" si="25"/>
        <v>#VALUE!</v>
      </c>
      <c r="E137" s="35" t="e">
        <f t="shared" si="26"/>
        <v>#VALUE!</v>
      </c>
      <c r="F137" s="35" t="e">
        <f t="shared" si="27"/>
        <v>#VALUE!</v>
      </c>
      <c r="G137" s="35" t="e">
        <f t="shared" si="28"/>
        <v>#VALUE!</v>
      </c>
      <c r="H137" s="33" t="e">
        <f t="shared" si="33"/>
        <v>#VALUE!</v>
      </c>
      <c r="I137" s="13" t="e">
        <f t="shared" si="34"/>
        <v>#VALUE!</v>
      </c>
      <c r="J137" s="14" t="e">
        <f t="shared" si="35"/>
        <v>#VALUE!</v>
      </c>
      <c r="K137" s="14" t="e">
        <f t="shared" si="36"/>
        <v>#VALUE!</v>
      </c>
      <c r="L137" s="14" t="e">
        <f t="shared" si="37"/>
        <v>#VALUE!</v>
      </c>
      <c r="M137" s="14" t="e">
        <f t="shared" si="38"/>
        <v>#VALUE!</v>
      </c>
      <c r="N137" s="15" t="e">
        <f t="shared" si="39"/>
        <v>#VALUE!</v>
      </c>
      <c r="O137" s="36" t="e">
        <f t="shared" si="29"/>
        <v>#VALUE!</v>
      </c>
      <c r="P137" s="36" t="str">
        <f t="shared" si="30"/>
        <v xml:space="preserve"> </v>
      </c>
      <c r="Q137" s="36" t="e">
        <f>IF(ISBLANK(comexem)=TRUE,ROUND($K137/optioncom*1000,2),ROUND(($K137+$L137)/optioncomex*1000,2))</f>
        <v>#VALUE!</v>
      </c>
      <c r="R137" s="36" t="e">
        <f>IF(ISBLANK(comexem)=TRUE,ROUND($L137/optionind*1000,2),ROUND(($K137+$L137)/optioncomex*1000,2))</f>
        <v>#VALUE!</v>
      </c>
      <c r="S137" s="37" t="e">
        <f t="shared" si="31"/>
        <v>#VALUE!</v>
      </c>
    </row>
    <row r="138" spans="1:19">
      <c r="A138" s="222">
        <v>1.57499999999999</v>
      </c>
      <c r="B138" s="205" t="e">
        <f t="shared" si="32"/>
        <v>#VALUE!</v>
      </c>
      <c r="C138" s="34" t="e">
        <f t="shared" si="24"/>
        <v>#VALUE!</v>
      </c>
      <c r="D138" s="35" t="e">
        <f t="shared" si="25"/>
        <v>#VALUE!</v>
      </c>
      <c r="E138" s="35" t="e">
        <f t="shared" si="26"/>
        <v>#VALUE!</v>
      </c>
      <c r="F138" s="35" t="e">
        <f t="shared" si="27"/>
        <v>#VALUE!</v>
      </c>
      <c r="G138" s="35" t="e">
        <f t="shared" si="28"/>
        <v>#VALUE!</v>
      </c>
      <c r="H138" s="33" t="e">
        <f t="shared" si="33"/>
        <v>#VALUE!</v>
      </c>
      <c r="I138" s="13" t="e">
        <f t="shared" si="34"/>
        <v>#VALUE!</v>
      </c>
      <c r="J138" s="14" t="e">
        <f t="shared" si="35"/>
        <v>#VALUE!</v>
      </c>
      <c r="K138" s="14" t="e">
        <f t="shared" si="36"/>
        <v>#VALUE!</v>
      </c>
      <c r="L138" s="14" t="e">
        <f t="shared" si="37"/>
        <v>#VALUE!</v>
      </c>
      <c r="M138" s="14" t="e">
        <f t="shared" si="38"/>
        <v>#VALUE!</v>
      </c>
      <c r="N138" s="15" t="e">
        <f t="shared" si="39"/>
        <v>#VALUE!</v>
      </c>
      <c r="O138" s="36" t="e">
        <f t="shared" si="29"/>
        <v>#VALUE!</v>
      </c>
      <c r="P138" s="36" t="str">
        <f t="shared" si="30"/>
        <v xml:space="preserve"> </v>
      </c>
      <c r="Q138" s="36" t="e">
        <f>IF(ISBLANK(comexem)=TRUE,ROUND($K138/optioncom*1000,2),ROUND(($K138+$L138)/optioncomex*1000,2))</f>
        <v>#VALUE!</v>
      </c>
      <c r="R138" s="36" t="e">
        <f>IF(ISBLANK(comexem)=TRUE,ROUND($L138/optionind*1000,2),ROUND(($K138+$L138)/optioncomex*1000,2))</f>
        <v>#VALUE!</v>
      </c>
      <c r="S138" s="37" t="e">
        <f t="shared" si="31"/>
        <v>#VALUE!</v>
      </c>
    </row>
    <row r="139" spans="1:19">
      <c r="A139" s="222">
        <v>1.5799999999999901</v>
      </c>
      <c r="B139" s="205" t="e">
        <f t="shared" si="32"/>
        <v>#VALUE!</v>
      </c>
      <c r="C139" s="34" t="e">
        <f t="shared" si="24"/>
        <v>#VALUE!</v>
      </c>
      <c r="D139" s="35" t="e">
        <f t="shared" si="25"/>
        <v>#VALUE!</v>
      </c>
      <c r="E139" s="35" t="e">
        <f t="shared" si="26"/>
        <v>#VALUE!</v>
      </c>
      <c r="F139" s="35" t="e">
        <f t="shared" si="27"/>
        <v>#VALUE!</v>
      </c>
      <c r="G139" s="35" t="e">
        <f t="shared" si="28"/>
        <v>#VALUE!</v>
      </c>
      <c r="H139" s="33" t="e">
        <f t="shared" si="33"/>
        <v>#VALUE!</v>
      </c>
      <c r="I139" s="13" t="e">
        <f t="shared" si="34"/>
        <v>#VALUE!</v>
      </c>
      <c r="J139" s="14" t="e">
        <f t="shared" si="35"/>
        <v>#VALUE!</v>
      </c>
      <c r="K139" s="14" t="e">
        <f t="shared" si="36"/>
        <v>#VALUE!</v>
      </c>
      <c r="L139" s="14" t="e">
        <f t="shared" si="37"/>
        <v>#VALUE!</v>
      </c>
      <c r="M139" s="14" t="e">
        <f t="shared" si="38"/>
        <v>#VALUE!</v>
      </c>
      <c r="N139" s="15" t="e">
        <f t="shared" si="39"/>
        <v>#VALUE!</v>
      </c>
      <c r="O139" s="36" t="e">
        <f t="shared" si="29"/>
        <v>#VALUE!</v>
      </c>
      <c r="P139" s="36" t="str">
        <f t="shared" si="30"/>
        <v xml:space="preserve"> </v>
      </c>
      <c r="Q139" s="36" t="e">
        <f>IF(ISBLANK(comexem)=TRUE,ROUND($K139/optioncom*1000,2),ROUND(($K139+$L139)/optioncomex*1000,2))</f>
        <v>#VALUE!</v>
      </c>
      <c r="R139" s="36" t="e">
        <f>IF(ISBLANK(comexem)=TRUE,ROUND($L139/optionind*1000,2),ROUND(($K139+$L139)/optioncomex*1000,2))</f>
        <v>#VALUE!</v>
      </c>
      <c r="S139" s="37" t="e">
        <f t="shared" si="31"/>
        <v>#VALUE!</v>
      </c>
    </row>
    <row r="140" spans="1:19">
      <c r="A140" s="222">
        <v>1.58499999999999</v>
      </c>
      <c r="B140" s="205" t="e">
        <f t="shared" si="32"/>
        <v>#VALUE!</v>
      </c>
      <c r="C140" s="34" t="e">
        <f t="shared" si="24"/>
        <v>#VALUE!</v>
      </c>
      <c r="D140" s="35" t="e">
        <f t="shared" si="25"/>
        <v>#VALUE!</v>
      </c>
      <c r="E140" s="35" t="e">
        <f t="shared" si="26"/>
        <v>#VALUE!</v>
      </c>
      <c r="F140" s="35" t="e">
        <f t="shared" si="27"/>
        <v>#VALUE!</v>
      </c>
      <c r="G140" s="35" t="e">
        <f t="shared" si="28"/>
        <v>#VALUE!</v>
      </c>
      <c r="H140" s="33" t="e">
        <f t="shared" si="33"/>
        <v>#VALUE!</v>
      </c>
      <c r="I140" s="13" t="e">
        <f t="shared" si="34"/>
        <v>#VALUE!</v>
      </c>
      <c r="J140" s="14" t="e">
        <f t="shared" si="35"/>
        <v>#VALUE!</v>
      </c>
      <c r="K140" s="14" t="e">
        <f t="shared" si="36"/>
        <v>#VALUE!</v>
      </c>
      <c r="L140" s="14" t="e">
        <f t="shared" si="37"/>
        <v>#VALUE!</v>
      </c>
      <c r="M140" s="14" t="e">
        <f t="shared" si="38"/>
        <v>#VALUE!</v>
      </c>
      <c r="N140" s="15" t="e">
        <f t="shared" si="39"/>
        <v>#VALUE!</v>
      </c>
      <c r="O140" s="36" t="e">
        <f t="shared" si="29"/>
        <v>#VALUE!</v>
      </c>
      <c r="P140" s="36" t="str">
        <f t="shared" si="30"/>
        <v xml:space="preserve"> </v>
      </c>
      <c r="Q140" s="36" t="e">
        <f>IF(ISBLANK(comexem)=TRUE,ROUND($K140/optioncom*1000,2),ROUND(($K140+$L140)/optioncomex*1000,2))</f>
        <v>#VALUE!</v>
      </c>
      <c r="R140" s="36" t="e">
        <f>IF(ISBLANK(comexem)=TRUE,ROUND($L140/optionind*1000,2),ROUND(($K140+$L140)/optioncomex*1000,2))</f>
        <v>#VALUE!</v>
      </c>
      <c r="S140" s="37" t="e">
        <f t="shared" si="31"/>
        <v>#VALUE!</v>
      </c>
    </row>
    <row r="141" spans="1:19">
      <c r="A141" s="222">
        <v>1.5899999999999901</v>
      </c>
      <c r="B141" s="205" t="e">
        <f t="shared" si="32"/>
        <v>#VALUE!</v>
      </c>
      <c r="C141" s="34" t="e">
        <f t="shared" si="24"/>
        <v>#VALUE!</v>
      </c>
      <c r="D141" s="35" t="e">
        <f t="shared" si="25"/>
        <v>#VALUE!</v>
      </c>
      <c r="E141" s="35" t="e">
        <f t="shared" si="26"/>
        <v>#VALUE!</v>
      </c>
      <c r="F141" s="35" t="e">
        <f t="shared" si="27"/>
        <v>#VALUE!</v>
      </c>
      <c r="G141" s="35" t="e">
        <f t="shared" si="28"/>
        <v>#VALUE!</v>
      </c>
      <c r="H141" s="33" t="e">
        <f t="shared" si="33"/>
        <v>#VALUE!</v>
      </c>
      <c r="I141" s="13" t="e">
        <f t="shared" si="34"/>
        <v>#VALUE!</v>
      </c>
      <c r="J141" s="14" t="e">
        <f t="shared" si="35"/>
        <v>#VALUE!</v>
      </c>
      <c r="K141" s="14" t="e">
        <f t="shared" si="36"/>
        <v>#VALUE!</v>
      </c>
      <c r="L141" s="14" t="e">
        <f t="shared" si="37"/>
        <v>#VALUE!</v>
      </c>
      <c r="M141" s="14" t="e">
        <f t="shared" si="38"/>
        <v>#VALUE!</v>
      </c>
      <c r="N141" s="15" t="e">
        <f t="shared" si="39"/>
        <v>#VALUE!</v>
      </c>
      <c r="O141" s="36" t="e">
        <f t="shared" si="29"/>
        <v>#VALUE!</v>
      </c>
      <c r="P141" s="36" t="str">
        <f t="shared" si="30"/>
        <v xml:space="preserve"> </v>
      </c>
      <c r="Q141" s="36" t="e">
        <f>IF(ISBLANK(comexem)=TRUE,ROUND($K141/optioncom*1000,2),ROUND(($K141+$L141)/optioncomex*1000,2))</f>
        <v>#VALUE!</v>
      </c>
      <c r="R141" s="36" t="e">
        <f>IF(ISBLANK(comexem)=TRUE,ROUND($L141/optionind*1000,2),ROUND(($K141+$L141)/optioncomex*1000,2))</f>
        <v>#VALUE!</v>
      </c>
      <c r="S141" s="37" t="e">
        <f t="shared" si="31"/>
        <v>#VALUE!</v>
      </c>
    </row>
    <row r="142" spans="1:19">
      <c r="A142" s="222">
        <v>1.59499999999999</v>
      </c>
      <c r="B142" s="205" t="e">
        <f t="shared" si="32"/>
        <v>#VALUE!</v>
      </c>
      <c r="C142" s="34" t="e">
        <f t="shared" si="24"/>
        <v>#VALUE!</v>
      </c>
      <c r="D142" s="35" t="e">
        <f t="shared" si="25"/>
        <v>#VALUE!</v>
      </c>
      <c r="E142" s="35" t="e">
        <f t="shared" si="26"/>
        <v>#VALUE!</v>
      </c>
      <c r="F142" s="35" t="e">
        <f t="shared" si="27"/>
        <v>#VALUE!</v>
      </c>
      <c r="G142" s="35" t="e">
        <f t="shared" si="28"/>
        <v>#VALUE!</v>
      </c>
      <c r="H142" s="33" t="e">
        <f t="shared" si="33"/>
        <v>#VALUE!</v>
      </c>
      <c r="I142" s="13" t="e">
        <f t="shared" si="34"/>
        <v>#VALUE!</v>
      </c>
      <c r="J142" s="14" t="e">
        <f t="shared" si="35"/>
        <v>#VALUE!</v>
      </c>
      <c r="K142" s="14" t="e">
        <f t="shared" si="36"/>
        <v>#VALUE!</v>
      </c>
      <c r="L142" s="14" t="e">
        <f t="shared" si="37"/>
        <v>#VALUE!</v>
      </c>
      <c r="M142" s="14" t="e">
        <f t="shared" si="38"/>
        <v>#VALUE!</v>
      </c>
      <c r="N142" s="15" t="e">
        <f t="shared" si="39"/>
        <v>#VALUE!</v>
      </c>
      <c r="O142" s="36" t="e">
        <f t="shared" si="29"/>
        <v>#VALUE!</v>
      </c>
      <c r="P142" s="36" t="str">
        <f t="shared" si="30"/>
        <v xml:space="preserve"> </v>
      </c>
      <c r="Q142" s="36" t="e">
        <f>IF(ISBLANK(comexem)=TRUE,ROUND($K142/optioncom*1000,2),ROUND(($K142+$L142)/optioncomex*1000,2))</f>
        <v>#VALUE!</v>
      </c>
      <c r="R142" s="36" t="e">
        <f>IF(ISBLANK(comexem)=TRUE,ROUND($L142/optionind*1000,2),ROUND(($K142+$L142)/optioncomex*1000,2))</f>
        <v>#VALUE!</v>
      </c>
      <c r="S142" s="37" t="e">
        <f t="shared" si="31"/>
        <v>#VALUE!</v>
      </c>
    </row>
    <row r="143" spans="1:19">
      <c r="A143" s="222">
        <v>1.5999999999999901</v>
      </c>
      <c r="B143" s="205" t="e">
        <f t="shared" si="32"/>
        <v>#VALUE!</v>
      </c>
      <c r="C143" s="34" t="e">
        <f t="shared" si="24"/>
        <v>#VALUE!</v>
      </c>
      <c r="D143" s="35" t="e">
        <f t="shared" si="25"/>
        <v>#VALUE!</v>
      </c>
      <c r="E143" s="35" t="e">
        <f t="shared" si="26"/>
        <v>#VALUE!</v>
      </c>
      <c r="F143" s="35" t="e">
        <f t="shared" si="27"/>
        <v>#VALUE!</v>
      </c>
      <c r="G143" s="35" t="e">
        <f t="shared" si="28"/>
        <v>#VALUE!</v>
      </c>
      <c r="H143" s="33" t="e">
        <f t="shared" si="33"/>
        <v>#VALUE!</v>
      </c>
      <c r="I143" s="13" t="e">
        <f t="shared" si="34"/>
        <v>#VALUE!</v>
      </c>
      <c r="J143" s="14" t="e">
        <f t="shared" si="35"/>
        <v>#VALUE!</v>
      </c>
      <c r="K143" s="14" t="e">
        <f t="shared" si="36"/>
        <v>#VALUE!</v>
      </c>
      <c r="L143" s="14" t="e">
        <f t="shared" si="37"/>
        <v>#VALUE!</v>
      </c>
      <c r="M143" s="14" t="e">
        <f t="shared" si="38"/>
        <v>#VALUE!</v>
      </c>
      <c r="N143" s="15" t="e">
        <f t="shared" si="39"/>
        <v>#VALUE!</v>
      </c>
      <c r="O143" s="36" t="e">
        <f t="shared" si="29"/>
        <v>#VALUE!</v>
      </c>
      <c r="P143" s="36" t="str">
        <f t="shared" si="30"/>
        <v xml:space="preserve"> </v>
      </c>
      <c r="Q143" s="36" t="e">
        <f>IF(ISBLANK(comexem)=TRUE,ROUND($K143/optioncom*1000,2),ROUND(($K143+$L143)/optioncomex*1000,2))</f>
        <v>#VALUE!</v>
      </c>
      <c r="R143" s="36" t="e">
        <f>IF(ISBLANK(comexem)=TRUE,ROUND($L143/optionind*1000,2),ROUND(($K143+$L143)/optioncomex*1000,2))</f>
        <v>#VALUE!</v>
      </c>
      <c r="S143" s="37" t="e">
        <f t="shared" si="31"/>
        <v>#VALUE!</v>
      </c>
    </row>
    <row r="144" spans="1:19">
      <c r="A144" s="222">
        <v>1.60499999999999</v>
      </c>
      <c r="B144" s="205" t="e">
        <f t="shared" si="32"/>
        <v>#VALUE!</v>
      </c>
      <c r="C144" s="34" t="e">
        <f t="shared" si="24"/>
        <v>#VALUE!</v>
      </c>
      <c r="D144" s="35" t="e">
        <f t="shared" si="25"/>
        <v>#VALUE!</v>
      </c>
      <c r="E144" s="35" t="e">
        <f t="shared" si="26"/>
        <v>#VALUE!</v>
      </c>
      <c r="F144" s="35" t="e">
        <f t="shared" si="27"/>
        <v>#VALUE!</v>
      </c>
      <c r="G144" s="35" t="e">
        <f t="shared" si="28"/>
        <v>#VALUE!</v>
      </c>
      <c r="H144" s="33" t="e">
        <f t="shared" si="33"/>
        <v>#VALUE!</v>
      </c>
      <c r="I144" s="13" t="e">
        <f t="shared" si="34"/>
        <v>#VALUE!</v>
      </c>
      <c r="J144" s="14" t="e">
        <f t="shared" si="35"/>
        <v>#VALUE!</v>
      </c>
      <c r="K144" s="14" t="e">
        <f t="shared" si="36"/>
        <v>#VALUE!</v>
      </c>
      <c r="L144" s="14" t="e">
        <f t="shared" si="37"/>
        <v>#VALUE!</v>
      </c>
      <c r="M144" s="14" t="e">
        <f t="shared" si="38"/>
        <v>#VALUE!</v>
      </c>
      <c r="N144" s="15" t="e">
        <f t="shared" si="39"/>
        <v>#VALUE!</v>
      </c>
      <c r="O144" s="36" t="e">
        <f t="shared" si="29"/>
        <v>#VALUE!</v>
      </c>
      <c r="P144" s="36" t="str">
        <f t="shared" si="30"/>
        <v xml:space="preserve"> </v>
      </c>
      <c r="Q144" s="36" t="e">
        <f>IF(ISBLANK(comexem)=TRUE,ROUND($K144/optioncom*1000,2),ROUND(($K144+$L144)/optioncomex*1000,2))</f>
        <v>#VALUE!</v>
      </c>
      <c r="R144" s="36" t="e">
        <f>IF(ISBLANK(comexem)=TRUE,ROUND($L144/optionind*1000,2),ROUND(($K144+$L144)/optioncomex*1000,2))</f>
        <v>#VALUE!</v>
      </c>
      <c r="S144" s="37" t="e">
        <f t="shared" si="31"/>
        <v>#VALUE!</v>
      </c>
    </row>
    <row r="145" spans="1:19">
      <c r="A145" s="222">
        <v>1.6099999999999901</v>
      </c>
      <c r="B145" s="205" t="e">
        <f t="shared" si="32"/>
        <v>#VALUE!</v>
      </c>
      <c r="C145" s="34" t="e">
        <f t="shared" si="24"/>
        <v>#VALUE!</v>
      </c>
      <c r="D145" s="35" t="e">
        <f t="shared" si="25"/>
        <v>#VALUE!</v>
      </c>
      <c r="E145" s="35" t="e">
        <f t="shared" si="26"/>
        <v>#VALUE!</v>
      </c>
      <c r="F145" s="35" t="e">
        <f t="shared" si="27"/>
        <v>#VALUE!</v>
      </c>
      <c r="G145" s="35" t="e">
        <f t="shared" si="28"/>
        <v>#VALUE!</v>
      </c>
      <c r="H145" s="33" t="e">
        <f t="shared" si="33"/>
        <v>#VALUE!</v>
      </c>
      <c r="I145" s="13" t="e">
        <f t="shared" si="34"/>
        <v>#VALUE!</v>
      </c>
      <c r="J145" s="14" t="e">
        <f t="shared" si="35"/>
        <v>#VALUE!</v>
      </c>
      <c r="K145" s="14" t="e">
        <f t="shared" si="36"/>
        <v>#VALUE!</v>
      </c>
      <c r="L145" s="14" t="e">
        <f t="shared" si="37"/>
        <v>#VALUE!</v>
      </c>
      <c r="M145" s="14" t="e">
        <f t="shared" si="38"/>
        <v>#VALUE!</v>
      </c>
      <c r="N145" s="15" t="e">
        <f t="shared" si="39"/>
        <v>#VALUE!</v>
      </c>
      <c r="O145" s="36" t="e">
        <f t="shared" si="29"/>
        <v>#VALUE!</v>
      </c>
      <c r="P145" s="36" t="str">
        <f t="shared" si="30"/>
        <v xml:space="preserve"> </v>
      </c>
      <c r="Q145" s="36" t="e">
        <f>IF(ISBLANK(comexem)=TRUE,ROUND($K145/optioncom*1000,2),ROUND(($K145+$L145)/optioncomex*1000,2))</f>
        <v>#VALUE!</v>
      </c>
      <c r="R145" s="36" t="e">
        <f>IF(ISBLANK(comexem)=TRUE,ROUND($L145/optionind*1000,2),ROUND(($K145+$L145)/optioncomex*1000,2))</f>
        <v>#VALUE!</v>
      </c>
      <c r="S145" s="37" t="e">
        <f t="shared" si="31"/>
        <v>#VALUE!</v>
      </c>
    </row>
    <row r="146" spans="1:19">
      <c r="A146" s="222">
        <v>1.61499999999999</v>
      </c>
      <c r="B146" s="205" t="e">
        <f t="shared" si="32"/>
        <v>#VALUE!</v>
      </c>
      <c r="C146" s="34" t="e">
        <f t="shared" si="24"/>
        <v>#VALUE!</v>
      </c>
      <c r="D146" s="35" t="e">
        <f t="shared" si="25"/>
        <v>#VALUE!</v>
      </c>
      <c r="E146" s="35" t="e">
        <f t="shared" si="26"/>
        <v>#VALUE!</v>
      </c>
      <c r="F146" s="35" t="e">
        <f t="shared" si="27"/>
        <v>#VALUE!</v>
      </c>
      <c r="G146" s="35" t="e">
        <f t="shared" si="28"/>
        <v>#VALUE!</v>
      </c>
      <c r="H146" s="33" t="e">
        <f t="shared" si="33"/>
        <v>#VALUE!</v>
      </c>
      <c r="I146" s="13" t="e">
        <f t="shared" si="34"/>
        <v>#VALUE!</v>
      </c>
      <c r="J146" s="14" t="e">
        <f t="shared" si="35"/>
        <v>#VALUE!</v>
      </c>
      <c r="K146" s="14" t="e">
        <f t="shared" si="36"/>
        <v>#VALUE!</v>
      </c>
      <c r="L146" s="14" t="e">
        <f t="shared" si="37"/>
        <v>#VALUE!</v>
      </c>
      <c r="M146" s="14" t="e">
        <f t="shared" si="38"/>
        <v>#VALUE!</v>
      </c>
      <c r="N146" s="15" t="e">
        <f t="shared" si="39"/>
        <v>#VALUE!</v>
      </c>
      <c r="O146" s="36" t="e">
        <f t="shared" si="29"/>
        <v>#VALUE!</v>
      </c>
      <c r="P146" s="36" t="str">
        <f t="shared" si="30"/>
        <v xml:space="preserve"> </v>
      </c>
      <c r="Q146" s="36" t="e">
        <f>IF(ISBLANK(comexem)=TRUE,ROUND($K146/optioncom*1000,2),ROUND(($K146+$L146)/optioncomex*1000,2))</f>
        <v>#VALUE!</v>
      </c>
      <c r="R146" s="36" t="e">
        <f>IF(ISBLANK(comexem)=TRUE,ROUND($L146/optionind*1000,2),ROUND(($K146+$L146)/optioncomex*1000,2))</f>
        <v>#VALUE!</v>
      </c>
      <c r="S146" s="37" t="e">
        <f t="shared" si="31"/>
        <v>#VALUE!</v>
      </c>
    </row>
    <row r="147" spans="1:19">
      <c r="A147" s="222">
        <v>1.6199999999999899</v>
      </c>
      <c r="B147" s="205" t="e">
        <f t="shared" si="32"/>
        <v>#VALUE!</v>
      </c>
      <c r="C147" s="34" t="e">
        <f t="shared" si="24"/>
        <v>#VALUE!</v>
      </c>
      <c r="D147" s="35" t="e">
        <f t="shared" si="25"/>
        <v>#VALUE!</v>
      </c>
      <c r="E147" s="35" t="e">
        <f t="shared" si="26"/>
        <v>#VALUE!</v>
      </c>
      <c r="F147" s="35" t="e">
        <f t="shared" si="27"/>
        <v>#VALUE!</v>
      </c>
      <c r="G147" s="35" t="e">
        <f t="shared" si="28"/>
        <v>#VALUE!</v>
      </c>
      <c r="H147" s="33" t="e">
        <f t="shared" si="33"/>
        <v>#VALUE!</v>
      </c>
      <c r="I147" s="13" t="e">
        <f t="shared" si="34"/>
        <v>#VALUE!</v>
      </c>
      <c r="J147" s="14" t="e">
        <f t="shared" si="35"/>
        <v>#VALUE!</v>
      </c>
      <c r="K147" s="14" t="e">
        <f t="shared" si="36"/>
        <v>#VALUE!</v>
      </c>
      <c r="L147" s="14" t="e">
        <f t="shared" si="37"/>
        <v>#VALUE!</v>
      </c>
      <c r="M147" s="14" t="e">
        <f t="shared" si="38"/>
        <v>#VALUE!</v>
      </c>
      <c r="N147" s="15" t="e">
        <f t="shared" si="39"/>
        <v>#VALUE!</v>
      </c>
      <c r="O147" s="36" t="e">
        <f t="shared" si="29"/>
        <v>#VALUE!</v>
      </c>
      <c r="P147" s="36" t="str">
        <f t="shared" si="30"/>
        <v xml:space="preserve"> </v>
      </c>
      <c r="Q147" s="36" t="e">
        <f>IF(ISBLANK(comexem)=TRUE,ROUND($K147/optioncom*1000,2),ROUND(($K147+$L147)/optioncomex*1000,2))</f>
        <v>#VALUE!</v>
      </c>
      <c r="R147" s="36" t="e">
        <f>IF(ISBLANK(comexem)=TRUE,ROUND($L147/optionind*1000,2),ROUND(($K147+$L147)/optioncomex*1000,2))</f>
        <v>#VALUE!</v>
      </c>
      <c r="S147" s="37" t="e">
        <f t="shared" si="31"/>
        <v>#VALUE!</v>
      </c>
    </row>
    <row r="148" spans="1:19">
      <c r="A148" s="222">
        <v>1.62499999999999</v>
      </c>
      <c r="B148" s="205" t="e">
        <f t="shared" si="32"/>
        <v>#VALUE!</v>
      </c>
      <c r="C148" s="34" t="e">
        <f t="shared" si="24"/>
        <v>#VALUE!</v>
      </c>
      <c r="D148" s="35" t="e">
        <f t="shared" si="25"/>
        <v>#VALUE!</v>
      </c>
      <c r="E148" s="35" t="e">
        <f t="shared" si="26"/>
        <v>#VALUE!</v>
      </c>
      <c r="F148" s="35" t="e">
        <f t="shared" si="27"/>
        <v>#VALUE!</v>
      </c>
      <c r="G148" s="35" t="e">
        <f t="shared" si="28"/>
        <v>#VALUE!</v>
      </c>
      <c r="H148" s="33" t="e">
        <f t="shared" si="33"/>
        <v>#VALUE!</v>
      </c>
      <c r="I148" s="13" t="e">
        <f t="shared" si="34"/>
        <v>#VALUE!</v>
      </c>
      <c r="J148" s="14" t="e">
        <f t="shared" si="35"/>
        <v>#VALUE!</v>
      </c>
      <c r="K148" s="14" t="e">
        <f t="shared" si="36"/>
        <v>#VALUE!</v>
      </c>
      <c r="L148" s="14" t="e">
        <f t="shared" si="37"/>
        <v>#VALUE!</v>
      </c>
      <c r="M148" s="14" t="e">
        <f t="shared" si="38"/>
        <v>#VALUE!</v>
      </c>
      <c r="N148" s="15" t="e">
        <f t="shared" si="39"/>
        <v>#VALUE!</v>
      </c>
      <c r="O148" s="36" t="e">
        <f t="shared" si="29"/>
        <v>#VALUE!</v>
      </c>
      <c r="P148" s="36" t="str">
        <f t="shared" si="30"/>
        <v xml:space="preserve"> </v>
      </c>
      <c r="Q148" s="36" t="e">
        <f>IF(ISBLANK(comexem)=TRUE,ROUND($K148/optioncom*1000,2),ROUND(($K148+$L148)/optioncomex*1000,2))</f>
        <v>#VALUE!</v>
      </c>
      <c r="R148" s="36" t="e">
        <f>IF(ISBLANK(comexem)=TRUE,ROUND($L148/optionind*1000,2),ROUND(($K148+$L148)/optioncomex*1000,2))</f>
        <v>#VALUE!</v>
      </c>
      <c r="S148" s="37" t="e">
        <f t="shared" si="31"/>
        <v>#VALUE!</v>
      </c>
    </row>
    <row r="149" spans="1:19">
      <c r="A149" s="222">
        <v>1.6299999999999899</v>
      </c>
      <c r="B149" s="205" t="e">
        <f t="shared" si="32"/>
        <v>#VALUE!</v>
      </c>
      <c r="C149" s="34" t="e">
        <f t="shared" si="24"/>
        <v>#VALUE!</v>
      </c>
      <c r="D149" s="35" t="e">
        <f t="shared" si="25"/>
        <v>#VALUE!</v>
      </c>
      <c r="E149" s="35" t="e">
        <f t="shared" si="26"/>
        <v>#VALUE!</v>
      </c>
      <c r="F149" s="35" t="e">
        <f t="shared" si="27"/>
        <v>#VALUE!</v>
      </c>
      <c r="G149" s="35" t="e">
        <f t="shared" si="28"/>
        <v>#VALUE!</v>
      </c>
      <c r="H149" s="33" t="e">
        <f t="shared" si="33"/>
        <v>#VALUE!</v>
      </c>
      <c r="I149" s="13" t="e">
        <f t="shared" si="34"/>
        <v>#VALUE!</v>
      </c>
      <c r="J149" s="14" t="e">
        <f t="shared" si="35"/>
        <v>#VALUE!</v>
      </c>
      <c r="K149" s="14" t="e">
        <f t="shared" si="36"/>
        <v>#VALUE!</v>
      </c>
      <c r="L149" s="14" t="e">
        <f t="shared" si="37"/>
        <v>#VALUE!</v>
      </c>
      <c r="M149" s="14" t="e">
        <f t="shared" si="38"/>
        <v>#VALUE!</v>
      </c>
      <c r="N149" s="15" t="e">
        <f t="shared" si="39"/>
        <v>#VALUE!</v>
      </c>
      <c r="O149" s="36" t="e">
        <f t="shared" si="29"/>
        <v>#VALUE!</v>
      </c>
      <c r="P149" s="36" t="str">
        <f t="shared" si="30"/>
        <v xml:space="preserve"> </v>
      </c>
      <c r="Q149" s="36" t="e">
        <f>IF(ISBLANK(comexem)=TRUE,ROUND($K149/optioncom*1000,2),ROUND(($K149+$L149)/optioncomex*1000,2))</f>
        <v>#VALUE!</v>
      </c>
      <c r="R149" s="36" t="e">
        <f>IF(ISBLANK(comexem)=TRUE,ROUND($L149/optionind*1000,2),ROUND(($K149+$L149)/optioncomex*1000,2))</f>
        <v>#VALUE!</v>
      </c>
      <c r="S149" s="37" t="e">
        <f t="shared" si="31"/>
        <v>#VALUE!</v>
      </c>
    </row>
    <row r="150" spans="1:19">
      <c r="A150" s="222">
        <v>1.63499999999999</v>
      </c>
      <c r="B150" s="205" t="e">
        <f t="shared" si="32"/>
        <v>#VALUE!</v>
      </c>
      <c r="C150" s="34" t="e">
        <f t="shared" si="24"/>
        <v>#VALUE!</v>
      </c>
      <c r="D150" s="35" t="e">
        <f t="shared" si="25"/>
        <v>#VALUE!</v>
      </c>
      <c r="E150" s="35" t="e">
        <f t="shared" si="26"/>
        <v>#VALUE!</v>
      </c>
      <c r="F150" s="35" t="e">
        <f t="shared" si="27"/>
        <v>#VALUE!</v>
      </c>
      <c r="G150" s="35" t="e">
        <f t="shared" si="28"/>
        <v>#VALUE!</v>
      </c>
      <c r="H150" s="33" t="e">
        <f t="shared" si="33"/>
        <v>#VALUE!</v>
      </c>
      <c r="I150" s="13" t="e">
        <f t="shared" si="34"/>
        <v>#VALUE!</v>
      </c>
      <c r="J150" s="14" t="e">
        <f t="shared" si="35"/>
        <v>#VALUE!</v>
      </c>
      <c r="K150" s="14" t="e">
        <f t="shared" si="36"/>
        <v>#VALUE!</v>
      </c>
      <c r="L150" s="14" t="e">
        <f t="shared" si="37"/>
        <v>#VALUE!</v>
      </c>
      <c r="M150" s="14" t="e">
        <f t="shared" si="38"/>
        <v>#VALUE!</v>
      </c>
      <c r="N150" s="15" t="e">
        <f t="shared" si="39"/>
        <v>#VALUE!</v>
      </c>
      <c r="O150" s="36" t="e">
        <f t="shared" si="29"/>
        <v>#VALUE!</v>
      </c>
      <c r="P150" s="36" t="str">
        <f t="shared" si="30"/>
        <v xml:space="preserve"> </v>
      </c>
      <c r="Q150" s="36" t="e">
        <f>IF(ISBLANK(comexem)=TRUE,ROUND($K150/optioncom*1000,2),ROUND(($K150+$L150)/optioncomex*1000,2))</f>
        <v>#VALUE!</v>
      </c>
      <c r="R150" s="36" t="e">
        <f>IF(ISBLANK(comexem)=TRUE,ROUND($L150/optionind*1000,2),ROUND(($K150+$L150)/optioncomex*1000,2))</f>
        <v>#VALUE!</v>
      </c>
      <c r="S150" s="37" t="e">
        <f t="shared" si="31"/>
        <v>#VALUE!</v>
      </c>
    </row>
    <row r="151" spans="1:19">
      <c r="A151" s="222">
        <v>1.6399999999999899</v>
      </c>
      <c r="B151" s="205" t="e">
        <f t="shared" si="32"/>
        <v>#VALUE!</v>
      </c>
      <c r="C151" s="34" t="e">
        <f t="shared" ref="C151:C173" si="41">$B151*optionrespct</f>
        <v>#VALUE!</v>
      </c>
      <c r="D151" s="35" t="e">
        <f t="shared" ref="D151:D173" si="42">$B151*optionospct</f>
        <v>#VALUE!</v>
      </c>
      <c r="E151" s="35" t="e">
        <f t="shared" ref="E151:E173" si="43">$A151*optioncompct*100</f>
        <v>#VALUE!</v>
      </c>
      <c r="F151" s="35" t="e">
        <f t="shared" ref="F151:F173" si="44">$A151*optionindpct*100</f>
        <v>#VALUE!</v>
      </c>
      <c r="G151" s="35" t="e">
        <f t="shared" ref="G151:G173" si="45">$A151*optionpppct*100</f>
        <v>#VALUE!</v>
      </c>
      <c r="H151" s="33" t="e">
        <f t="shared" si="33"/>
        <v>#VALUE!</v>
      </c>
      <c r="I151" s="13" t="e">
        <f t="shared" si="34"/>
        <v>#VALUE!</v>
      </c>
      <c r="J151" s="14" t="e">
        <f t="shared" si="35"/>
        <v>#VALUE!</v>
      </c>
      <c r="K151" s="14" t="e">
        <f t="shared" si="36"/>
        <v>#VALUE!</v>
      </c>
      <c r="L151" s="14" t="e">
        <f t="shared" si="37"/>
        <v>#VALUE!</v>
      </c>
      <c r="M151" s="14" t="e">
        <f t="shared" si="38"/>
        <v>#VALUE!</v>
      </c>
      <c r="N151" s="15" t="e">
        <f t="shared" si="39"/>
        <v>#VALUE!</v>
      </c>
      <c r="O151" s="36" t="e">
        <f t="shared" ref="O151:O173" si="46">IF(ISBLANK(resexem)=TRUE,ROUND($I151/optionres*1000,2),ROUND($I151/optionresex*1000,2))</f>
        <v>#VALUE!</v>
      </c>
      <c r="P151" s="36" t="str">
        <f t="shared" ref="P151:P173" si="47">IF(optionos=0," ",ROUND($J151/optionos*1000,2))</f>
        <v xml:space="preserve"> </v>
      </c>
      <c r="Q151" s="36" t="e">
        <f>IF(ISBLANK(comexem)=TRUE,ROUND($K151/optioncom*1000,2),ROUND(($K151+$L151)/optioncomex*1000,2))</f>
        <v>#VALUE!</v>
      </c>
      <c r="R151" s="36" t="e">
        <f>IF(ISBLANK(comexem)=TRUE,ROUND($L151/optionind*1000,2),ROUND(($K151+$L151)/optioncomex*1000,2))</f>
        <v>#VALUE!</v>
      </c>
      <c r="S151" s="37" t="e">
        <f t="shared" ref="S151:S173" si="48">ROUND($M151/optionpp*1000,2)</f>
        <v>#VALUE!</v>
      </c>
    </row>
    <row r="152" spans="1:19">
      <c r="A152" s="222">
        <v>1.64499999999999</v>
      </c>
      <c r="B152" s="205" t="e">
        <f t="shared" ref="B152:B173" si="49">((1-(A152*optioncippct))/optionropct*100)</f>
        <v>#VALUE!</v>
      </c>
      <c r="C152" s="34" t="e">
        <f t="shared" si="41"/>
        <v>#VALUE!</v>
      </c>
      <c r="D152" s="35" t="e">
        <f t="shared" si="42"/>
        <v>#VALUE!</v>
      </c>
      <c r="E152" s="35" t="e">
        <f t="shared" si="43"/>
        <v>#VALUE!</v>
      </c>
      <c r="F152" s="35" t="e">
        <f t="shared" si="44"/>
        <v>#VALUE!</v>
      </c>
      <c r="G152" s="35" t="e">
        <f t="shared" si="45"/>
        <v>#VALUE!</v>
      </c>
      <c r="H152" s="33" t="e">
        <f t="shared" ref="H152:H173" si="50">SUM(C152:G152)</f>
        <v>#VALUE!</v>
      </c>
      <c r="I152" s="13" t="e">
        <f t="shared" ref="I152:I173" si="51">C152*optionlevy/100</f>
        <v>#VALUE!</v>
      </c>
      <c r="J152" s="14" t="e">
        <f t="shared" ref="J152:J173" si="52">D152*optionlevy/100</f>
        <v>#VALUE!</v>
      </c>
      <c r="K152" s="14" t="e">
        <f t="shared" ref="K152:K173" si="53">E152*optionlevy/100</f>
        <v>#VALUE!</v>
      </c>
      <c r="L152" s="14" t="e">
        <f t="shared" ref="L152:L173" si="54">F152*optionlevy/100</f>
        <v>#VALUE!</v>
      </c>
      <c r="M152" s="14" t="e">
        <f t="shared" ref="M152:M173" si="55">G152*optionlevy/100</f>
        <v>#VALUE!</v>
      </c>
      <c r="N152" s="15" t="e">
        <f t="shared" ref="N152:N173" si="56">SUM(I152:M152)</f>
        <v>#VALUE!</v>
      </c>
      <c r="O152" s="36" t="e">
        <f t="shared" si="46"/>
        <v>#VALUE!</v>
      </c>
      <c r="P152" s="36" t="str">
        <f t="shared" si="47"/>
        <v xml:space="preserve"> </v>
      </c>
      <c r="Q152" s="36" t="e">
        <f>IF(ISBLANK(comexem)=TRUE,ROUND($K152/optioncom*1000,2),ROUND(($K152+$L152)/optioncomex*1000,2))</f>
        <v>#VALUE!</v>
      </c>
      <c r="R152" s="36" t="e">
        <f>IF(ISBLANK(comexem)=TRUE,ROUND($L152/optionind*1000,2),ROUND(($K152+$L152)/optioncomex*1000,2))</f>
        <v>#VALUE!</v>
      </c>
      <c r="S152" s="37" t="e">
        <f t="shared" si="48"/>
        <v>#VALUE!</v>
      </c>
    </row>
    <row r="153" spans="1:19">
      <c r="A153" s="222">
        <v>1.6499999999999899</v>
      </c>
      <c r="B153" s="205" t="e">
        <f t="shared" si="49"/>
        <v>#VALUE!</v>
      </c>
      <c r="C153" s="34" t="e">
        <f t="shared" si="41"/>
        <v>#VALUE!</v>
      </c>
      <c r="D153" s="35" t="e">
        <f t="shared" si="42"/>
        <v>#VALUE!</v>
      </c>
      <c r="E153" s="35" t="e">
        <f t="shared" si="43"/>
        <v>#VALUE!</v>
      </c>
      <c r="F153" s="35" t="e">
        <f t="shared" si="44"/>
        <v>#VALUE!</v>
      </c>
      <c r="G153" s="35" t="e">
        <f t="shared" si="45"/>
        <v>#VALUE!</v>
      </c>
      <c r="H153" s="33" t="e">
        <f t="shared" si="50"/>
        <v>#VALUE!</v>
      </c>
      <c r="I153" s="13" t="e">
        <f t="shared" si="51"/>
        <v>#VALUE!</v>
      </c>
      <c r="J153" s="14" t="e">
        <f t="shared" si="52"/>
        <v>#VALUE!</v>
      </c>
      <c r="K153" s="14" t="e">
        <f t="shared" si="53"/>
        <v>#VALUE!</v>
      </c>
      <c r="L153" s="14" t="e">
        <f t="shared" si="54"/>
        <v>#VALUE!</v>
      </c>
      <c r="M153" s="14" t="e">
        <f t="shared" si="55"/>
        <v>#VALUE!</v>
      </c>
      <c r="N153" s="15" t="e">
        <f t="shared" si="56"/>
        <v>#VALUE!</v>
      </c>
      <c r="O153" s="36" t="e">
        <f t="shared" si="46"/>
        <v>#VALUE!</v>
      </c>
      <c r="P153" s="36" t="str">
        <f t="shared" si="47"/>
        <v xml:space="preserve"> </v>
      </c>
      <c r="Q153" s="36" t="e">
        <f>IF(ISBLANK(comexem)=TRUE,ROUND($K153/optioncom*1000,2),ROUND(($K153+$L153)/optioncomex*1000,2))</f>
        <v>#VALUE!</v>
      </c>
      <c r="R153" s="36" t="e">
        <f>IF(ISBLANK(comexem)=TRUE,ROUND($L153/optionind*1000,2),ROUND(($K153+$L153)/optioncomex*1000,2))</f>
        <v>#VALUE!</v>
      </c>
      <c r="S153" s="37" t="e">
        <f t="shared" si="48"/>
        <v>#VALUE!</v>
      </c>
    </row>
    <row r="154" spans="1:19">
      <c r="A154" s="222">
        <v>1.65499999999999</v>
      </c>
      <c r="B154" s="205" t="e">
        <f t="shared" si="49"/>
        <v>#VALUE!</v>
      </c>
      <c r="C154" s="34" t="e">
        <f t="shared" si="41"/>
        <v>#VALUE!</v>
      </c>
      <c r="D154" s="35" t="e">
        <f t="shared" si="42"/>
        <v>#VALUE!</v>
      </c>
      <c r="E154" s="35" t="e">
        <f t="shared" si="43"/>
        <v>#VALUE!</v>
      </c>
      <c r="F154" s="35" t="e">
        <f t="shared" si="44"/>
        <v>#VALUE!</v>
      </c>
      <c r="G154" s="35" t="e">
        <f t="shared" si="45"/>
        <v>#VALUE!</v>
      </c>
      <c r="H154" s="33" t="e">
        <f t="shared" si="50"/>
        <v>#VALUE!</v>
      </c>
      <c r="I154" s="13" t="e">
        <f t="shared" si="51"/>
        <v>#VALUE!</v>
      </c>
      <c r="J154" s="14" t="e">
        <f t="shared" si="52"/>
        <v>#VALUE!</v>
      </c>
      <c r="K154" s="14" t="e">
        <f t="shared" si="53"/>
        <v>#VALUE!</v>
      </c>
      <c r="L154" s="14" t="e">
        <f t="shared" si="54"/>
        <v>#VALUE!</v>
      </c>
      <c r="M154" s="14" t="e">
        <f t="shared" si="55"/>
        <v>#VALUE!</v>
      </c>
      <c r="N154" s="15" t="e">
        <f t="shared" si="56"/>
        <v>#VALUE!</v>
      </c>
      <c r="O154" s="36" t="e">
        <f t="shared" si="46"/>
        <v>#VALUE!</v>
      </c>
      <c r="P154" s="36" t="str">
        <f t="shared" si="47"/>
        <v xml:space="preserve"> </v>
      </c>
      <c r="Q154" s="36" t="e">
        <f>IF(ISBLANK(comexem)=TRUE,ROUND($K154/optioncom*1000,2),ROUND(($K154+$L154)/optioncomex*1000,2))</f>
        <v>#VALUE!</v>
      </c>
      <c r="R154" s="36" t="e">
        <f>IF(ISBLANK(comexem)=TRUE,ROUND($L154/optionind*1000,2),ROUND(($K154+$L154)/optioncomex*1000,2))</f>
        <v>#VALUE!</v>
      </c>
      <c r="S154" s="37" t="e">
        <f t="shared" si="48"/>
        <v>#VALUE!</v>
      </c>
    </row>
    <row r="155" spans="1:19">
      <c r="A155" s="222">
        <v>1.6599999999999899</v>
      </c>
      <c r="B155" s="205" t="e">
        <f t="shared" si="49"/>
        <v>#VALUE!</v>
      </c>
      <c r="C155" s="34" t="e">
        <f t="shared" si="41"/>
        <v>#VALUE!</v>
      </c>
      <c r="D155" s="35" t="e">
        <f t="shared" si="42"/>
        <v>#VALUE!</v>
      </c>
      <c r="E155" s="35" t="e">
        <f t="shared" si="43"/>
        <v>#VALUE!</v>
      </c>
      <c r="F155" s="35" t="e">
        <f t="shared" si="44"/>
        <v>#VALUE!</v>
      </c>
      <c r="G155" s="35" t="e">
        <f t="shared" si="45"/>
        <v>#VALUE!</v>
      </c>
      <c r="H155" s="33" t="e">
        <f t="shared" si="50"/>
        <v>#VALUE!</v>
      </c>
      <c r="I155" s="13" t="e">
        <f t="shared" si="51"/>
        <v>#VALUE!</v>
      </c>
      <c r="J155" s="14" t="e">
        <f t="shared" si="52"/>
        <v>#VALUE!</v>
      </c>
      <c r="K155" s="14" t="e">
        <f t="shared" si="53"/>
        <v>#VALUE!</v>
      </c>
      <c r="L155" s="14" t="e">
        <f t="shared" si="54"/>
        <v>#VALUE!</v>
      </c>
      <c r="M155" s="14" t="e">
        <f t="shared" si="55"/>
        <v>#VALUE!</v>
      </c>
      <c r="N155" s="15" t="e">
        <f t="shared" si="56"/>
        <v>#VALUE!</v>
      </c>
      <c r="O155" s="36" t="e">
        <f t="shared" si="46"/>
        <v>#VALUE!</v>
      </c>
      <c r="P155" s="36" t="str">
        <f t="shared" si="47"/>
        <v xml:space="preserve"> </v>
      </c>
      <c r="Q155" s="36" t="e">
        <f>IF(ISBLANK(comexem)=TRUE,ROUND($K155/optioncom*1000,2),ROUND(($K155+$L155)/optioncomex*1000,2))</f>
        <v>#VALUE!</v>
      </c>
      <c r="R155" s="36" t="e">
        <f>IF(ISBLANK(comexem)=TRUE,ROUND($L155/optionind*1000,2),ROUND(($K155+$L155)/optioncomex*1000,2))</f>
        <v>#VALUE!</v>
      </c>
      <c r="S155" s="37" t="e">
        <f t="shared" si="48"/>
        <v>#VALUE!</v>
      </c>
    </row>
    <row r="156" spans="1:19">
      <c r="A156" s="222">
        <v>1.66499999999999</v>
      </c>
      <c r="B156" s="205" t="e">
        <f t="shared" si="49"/>
        <v>#VALUE!</v>
      </c>
      <c r="C156" s="34" t="e">
        <f t="shared" si="41"/>
        <v>#VALUE!</v>
      </c>
      <c r="D156" s="35" t="e">
        <f t="shared" si="42"/>
        <v>#VALUE!</v>
      </c>
      <c r="E156" s="35" t="e">
        <f t="shared" si="43"/>
        <v>#VALUE!</v>
      </c>
      <c r="F156" s="35" t="e">
        <f t="shared" si="44"/>
        <v>#VALUE!</v>
      </c>
      <c r="G156" s="35" t="e">
        <f t="shared" si="45"/>
        <v>#VALUE!</v>
      </c>
      <c r="H156" s="33" t="e">
        <f t="shared" si="50"/>
        <v>#VALUE!</v>
      </c>
      <c r="I156" s="13" t="e">
        <f t="shared" si="51"/>
        <v>#VALUE!</v>
      </c>
      <c r="J156" s="14" t="e">
        <f t="shared" si="52"/>
        <v>#VALUE!</v>
      </c>
      <c r="K156" s="14" t="e">
        <f t="shared" si="53"/>
        <v>#VALUE!</v>
      </c>
      <c r="L156" s="14" t="e">
        <f t="shared" si="54"/>
        <v>#VALUE!</v>
      </c>
      <c r="M156" s="14" t="e">
        <f t="shared" si="55"/>
        <v>#VALUE!</v>
      </c>
      <c r="N156" s="15" t="e">
        <f t="shared" si="56"/>
        <v>#VALUE!</v>
      </c>
      <c r="O156" s="36" t="e">
        <f t="shared" si="46"/>
        <v>#VALUE!</v>
      </c>
      <c r="P156" s="36" t="str">
        <f t="shared" si="47"/>
        <v xml:space="preserve"> </v>
      </c>
      <c r="Q156" s="36" t="e">
        <f>IF(ISBLANK(comexem)=TRUE,ROUND($K156/optioncom*1000,2),ROUND(($K156+$L156)/optioncomex*1000,2))</f>
        <v>#VALUE!</v>
      </c>
      <c r="R156" s="36" t="e">
        <f>IF(ISBLANK(comexem)=TRUE,ROUND($L156/optionind*1000,2),ROUND(($K156+$L156)/optioncomex*1000,2))</f>
        <v>#VALUE!</v>
      </c>
      <c r="S156" s="37" t="e">
        <f t="shared" si="48"/>
        <v>#VALUE!</v>
      </c>
    </row>
    <row r="157" spans="1:19">
      <c r="A157" s="222">
        <v>1.6699999999999899</v>
      </c>
      <c r="B157" s="205" t="e">
        <f t="shared" si="49"/>
        <v>#VALUE!</v>
      </c>
      <c r="C157" s="34" t="e">
        <f t="shared" si="41"/>
        <v>#VALUE!</v>
      </c>
      <c r="D157" s="35" t="e">
        <f t="shared" si="42"/>
        <v>#VALUE!</v>
      </c>
      <c r="E157" s="35" t="e">
        <f t="shared" si="43"/>
        <v>#VALUE!</v>
      </c>
      <c r="F157" s="35" t="e">
        <f t="shared" si="44"/>
        <v>#VALUE!</v>
      </c>
      <c r="G157" s="35" t="e">
        <f t="shared" si="45"/>
        <v>#VALUE!</v>
      </c>
      <c r="H157" s="33" t="e">
        <f t="shared" si="50"/>
        <v>#VALUE!</v>
      </c>
      <c r="I157" s="13" t="e">
        <f t="shared" si="51"/>
        <v>#VALUE!</v>
      </c>
      <c r="J157" s="14" t="e">
        <f t="shared" si="52"/>
        <v>#VALUE!</v>
      </c>
      <c r="K157" s="14" t="e">
        <f t="shared" si="53"/>
        <v>#VALUE!</v>
      </c>
      <c r="L157" s="14" t="e">
        <f t="shared" si="54"/>
        <v>#VALUE!</v>
      </c>
      <c r="M157" s="14" t="e">
        <f t="shared" si="55"/>
        <v>#VALUE!</v>
      </c>
      <c r="N157" s="15" t="e">
        <f t="shared" si="56"/>
        <v>#VALUE!</v>
      </c>
      <c r="O157" s="36" t="e">
        <f t="shared" si="46"/>
        <v>#VALUE!</v>
      </c>
      <c r="P157" s="36" t="str">
        <f t="shared" si="47"/>
        <v xml:space="preserve"> </v>
      </c>
      <c r="Q157" s="36" t="e">
        <f>IF(ISBLANK(comexem)=TRUE,ROUND($K157/optioncom*1000,2),ROUND(($K157+$L157)/optioncomex*1000,2))</f>
        <v>#VALUE!</v>
      </c>
      <c r="R157" s="36" t="e">
        <f>IF(ISBLANK(comexem)=TRUE,ROUND($L157/optionind*1000,2),ROUND(($K157+$L157)/optioncomex*1000,2))</f>
        <v>#VALUE!</v>
      </c>
      <c r="S157" s="37" t="e">
        <f t="shared" si="48"/>
        <v>#VALUE!</v>
      </c>
    </row>
    <row r="158" spans="1:19">
      <c r="A158" s="222">
        <v>1.6749999999999901</v>
      </c>
      <c r="B158" s="205" t="e">
        <f t="shared" si="49"/>
        <v>#VALUE!</v>
      </c>
      <c r="C158" s="34" t="e">
        <f t="shared" si="41"/>
        <v>#VALUE!</v>
      </c>
      <c r="D158" s="35" t="e">
        <f t="shared" si="42"/>
        <v>#VALUE!</v>
      </c>
      <c r="E158" s="35" t="e">
        <f t="shared" si="43"/>
        <v>#VALUE!</v>
      </c>
      <c r="F158" s="35" t="e">
        <f t="shared" si="44"/>
        <v>#VALUE!</v>
      </c>
      <c r="G158" s="35" t="e">
        <f t="shared" si="45"/>
        <v>#VALUE!</v>
      </c>
      <c r="H158" s="33" t="e">
        <f t="shared" si="50"/>
        <v>#VALUE!</v>
      </c>
      <c r="I158" s="13" t="e">
        <f t="shared" si="51"/>
        <v>#VALUE!</v>
      </c>
      <c r="J158" s="14" t="e">
        <f t="shared" si="52"/>
        <v>#VALUE!</v>
      </c>
      <c r="K158" s="14" t="e">
        <f t="shared" si="53"/>
        <v>#VALUE!</v>
      </c>
      <c r="L158" s="14" t="e">
        <f t="shared" si="54"/>
        <v>#VALUE!</v>
      </c>
      <c r="M158" s="14" t="e">
        <f t="shared" si="55"/>
        <v>#VALUE!</v>
      </c>
      <c r="N158" s="15" t="e">
        <f t="shared" si="56"/>
        <v>#VALUE!</v>
      </c>
      <c r="O158" s="36" t="e">
        <f t="shared" si="46"/>
        <v>#VALUE!</v>
      </c>
      <c r="P158" s="36" t="str">
        <f t="shared" si="47"/>
        <v xml:space="preserve"> </v>
      </c>
      <c r="Q158" s="36" t="e">
        <f>IF(ISBLANK(comexem)=TRUE,ROUND($K158/optioncom*1000,2),ROUND(($K158+$L158)/optioncomex*1000,2))</f>
        <v>#VALUE!</v>
      </c>
      <c r="R158" s="36" t="e">
        <f>IF(ISBLANK(comexem)=TRUE,ROUND($L158/optionind*1000,2),ROUND(($K158+$L158)/optioncomex*1000,2))</f>
        <v>#VALUE!</v>
      </c>
      <c r="S158" s="37" t="e">
        <f t="shared" si="48"/>
        <v>#VALUE!</v>
      </c>
    </row>
    <row r="159" spans="1:19">
      <c r="A159" s="222">
        <v>1.6799999999999899</v>
      </c>
      <c r="B159" s="205" t="e">
        <f t="shared" si="49"/>
        <v>#VALUE!</v>
      </c>
      <c r="C159" s="34" t="e">
        <f t="shared" si="41"/>
        <v>#VALUE!</v>
      </c>
      <c r="D159" s="35" t="e">
        <f t="shared" si="42"/>
        <v>#VALUE!</v>
      </c>
      <c r="E159" s="35" t="e">
        <f t="shared" si="43"/>
        <v>#VALUE!</v>
      </c>
      <c r="F159" s="35" t="e">
        <f t="shared" si="44"/>
        <v>#VALUE!</v>
      </c>
      <c r="G159" s="35" t="e">
        <f t="shared" si="45"/>
        <v>#VALUE!</v>
      </c>
      <c r="H159" s="33" t="e">
        <f t="shared" si="50"/>
        <v>#VALUE!</v>
      </c>
      <c r="I159" s="13" t="e">
        <f t="shared" si="51"/>
        <v>#VALUE!</v>
      </c>
      <c r="J159" s="14" t="e">
        <f t="shared" si="52"/>
        <v>#VALUE!</v>
      </c>
      <c r="K159" s="14" t="e">
        <f t="shared" si="53"/>
        <v>#VALUE!</v>
      </c>
      <c r="L159" s="14" t="e">
        <f t="shared" si="54"/>
        <v>#VALUE!</v>
      </c>
      <c r="M159" s="14" t="e">
        <f t="shared" si="55"/>
        <v>#VALUE!</v>
      </c>
      <c r="N159" s="15" t="e">
        <f t="shared" si="56"/>
        <v>#VALUE!</v>
      </c>
      <c r="O159" s="36" t="e">
        <f t="shared" si="46"/>
        <v>#VALUE!</v>
      </c>
      <c r="P159" s="36" t="str">
        <f t="shared" si="47"/>
        <v xml:space="preserve"> </v>
      </c>
      <c r="Q159" s="36" t="e">
        <f>IF(ISBLANK(comexem)=TRUE,ROUND($K159/optioncom*1000,2),ROUND(($K159+$L159)/optioncomex*1000,2))</f>
        <v>#VALUE!</v>
      </c>
      <c r="R159" s="36" t="e">
        <f>IF(ISBLANK(comexem)=TRUE,ROUND($L159/optionind*1000,2),ROUND(($K159+$L159)/optioncomex*1000,2))</f>
        <v>#VALUE!</v>
      </c>
      <c r="S159" s="37" t="e">
        <f t="shared" si="48"/>
        <v>#VALUE!</v>
      </c>
    </row>
    <row r="160" spans="1:19">
      <c r="A160" s="222">
        <v>1.6849999999999901</v>
      </c>
      <c r="B160" s="205" t="e">
        <f t="shared" si="49"/>
        <v>#VALUE!</v>
      </c>
      <c r="C160" s="34" t="e">
        <f t="shared" si="41"/>
        <v>#VALUE!</v>
      </c>
      <c r="D160" s="35" t="e">
        <f t="shared" si="42"/>
        <v>#VALUE!</v>
      </c>
      <c r="E160" s="35" t="e">
        <f t="shared" si="43"/>
        <v>#VALUE!</v>
      </c>
      <c r="F160" s="35" t="e">
        <f t="shared" si="44"/>
        <v>#VALUE!</v>
      </c>
      <c r="G160" s="35" t="e">
        <f t="shared" si="45"/>
        <v>#VALUE!</v>
      </c>
      <c r="H160" s="33" t="e">
        <f t="shared" si="50"/>
        <v>#VALUE!</v>
      </c>
      <c r="I160" s="13" t="e">
        <f t="shared" si="51"/>
        <v>#VALUE!</v>
      </c>
      <c r="J160" s="14" t="e">
        <f t="shared" si="52"/>
        <v>#VALUE!</v>
      </c>
      <c r="K160" s="14" t="e">
        <f t="shared" si="53"/>
        <v>#VALUE!</v>
      </c>
      <c r="L160" s="14" t="e">
        <f t="shared" si="54"/>
        <v>#VALUE!</v>
      </c>
      <c r="M160" s="14" t="e">
        <f t="shared" si="55"/>
        <v>#VALUE!</v>
      </c>
      <c r="N160" s="15" t="e">
        <f t="shared" si="56"/>
        <v>#VALUE!</v>
      </c>
      <c r="O160" s="36" t="e">
        <f t="shared" si="46"/>
        <v>#VALUE!</v>
      </c>
      <c r="P160" s="36" t="str">
        <f t="shared" si="47"/>
        <v xml:space="preserve"> </v>
      </c>
      <c r="Q160" s="36" t="e">
        <f>IF(ISBLANK(comexem)=TRUE,ROUND($K160/optioncom*1000,2),ROUND(($K160+$L160)/optioncomex*1000,2))</f>
        <v>#VALUE!</v>
      </c>
      <c r="R160" s="36" t="e">
        <f>IF(ISBLANK(comexem)=TRUE,ROUND($L160/optionind*1000,2),ROUND(($K160+$L160)/optioncomex*1000,2))</f>
        <v>#VALUE!</v>
      </c>
      <c r="S160" s="37" t="e">
        <f t="shared" si="48"/>
        <v>#VALUE!</v>
      </c>
    </row>
    <row r="161" spans="1:19">
      <c r="A161" s="222">
        <v>1.68999999999999</v>
      </c>
      <c r="B161" s="205" t="e">
        <f t="shared" si="49"/>
        <v>#VALUE!</v>
      </c>
      <c r="C161" s="34" t="e">
        <f t="shared" si="41"/>
        <v>#VALUE!</v>
      </c>
      <c r="D161" s="35" t="e">
        <f t="shared" si="42"/>
        <v>#VALUE!</v>
      </c>
      <c r="E161" s="35" t="e">
        <f t="shared" si="43"/>
        <v>#VALUE!</v>
      </c>
      <c r="F161" s="35" t="e">
        <f t="shared" si="44"/>
        <v>#VALUE!</v>
      </c>
      <c r="G161" s="35" t="e">
        <f t="shared" si="45"/>
        <v>#VALUE!</v>
      </c>
      <c r="H161" s="33" t="e">
        <f t="shared" si="50"/>
        <v>#VALUE!</v>
      </c>
      <c r="I161" s="13" t="e">
        <f t="shared" si="51"/>
        <v>#VALUE!</v>
      </c>
      <c r="J161" s="14" t="e">
        <f t="shared" si="52"/>
        <v>#VALUE!</v>
      </c>
      <c r="K161" s="14" t="e">
        <f t="shared" si="53"/>
        <v>#VALUE!</v>
      </c>
      <c r="L161" s="14" t="e">
        <f t="shared" si="54"/>
        <v>#VALUE!</v>
      </c>
      <c r="M161" s="14" t="e">
        <f t="shared" si="55"/>
        <v>#VALUE!</v>
      </c>
      <c r="N161" s="15" t="e">
        <f t="shared" si="56"/>
        <v>#VALUE!</v>
      </c>
      <c r="O161" s="36" t="e">
        <f t="shared" si="46"/>
        <v>#VALUE!</v>
      </c>
      <c r="P161" s="36" t="str">
        <f t="shared" si="47"/>
        <v xml:space="preserve"> </v>
      </c>
      <c r="Q161" s="36" t="e">
        <f>IF(ISBLANK(comexem)=TRUE,ROUND($K161/optioncom*1000,2),ROUND(($K161+$L161)/optioncomex*1000,2))</f>
        <v>#VALUE!</v>
      </c>
      <c r="R161" s="36" t="e">
        <f>IF(ISBLANK(comexem)=TRUE,ROUND($L161/optionind*1000,2),ROUND(($K161+$L161)/optioncomex*1000,2))</f>
        <v>#VALUE!</v>
      </c>
      <c r="S161" s="37" t="e">
        <f t="shared" si="48"/>
        <v>#VALUE!</v>
      </c>
    </row>
    <row r="162" spans="1:19">
      <c r="A162" s="222">
        <v>1.6949999999999901</v>
      </c>
      <c r="B162" s="205" t="e">
        <f t="shared" si="49"/>
        <v>#VALUE!</v>
      </c>
      <c r="C162" s="34" t="e">
        <f t="shared" si="41"/>
        <v>#VALUE!</v>
      </c>
      <c r="D162" s="35" t="e">
        <f t="shared" si="42"/>
        <v>#VALUE!</v>
      </c>
      <c r="E162" s="35" t="e">
        <f t="shared" si="43"/>
        <v>#VALUE!</v>
      </c>
      <c r="F162" s="35" t="e">
        <f t="shared" si="44"/>
        <v>#VALUE!</v>
      </c>
      <c r="G162" s="35" t="e">
        <f t="shared" si="45"/>
        <v>#VALUE!</v>
      </c>
      <c r="H162" s="33" t="e">
        <f t="shared" si="50"/>
        <v>#VALUE!</v>
      </c>
      <c r="I162" s="13" t="e">
        <f t="shared" si="51"/>
        <v>#VALUE!</v>
      </c>
      <c r="J162" s="14" t="e">
        <f t="shared" si="52"/>
        <v>#VALUE!</v>
      </c>
      <c r="K162" s="14" t="e">
        <f t="shared" si="53"/>
        <v>#VALUE!</v>
      </c>
      <c r="L162" s="14" t="e">
        <f t="shared" si="54"/>
        <v>#VALUE!</v>
      </c>
      <c r="M162" s="14" t="e">
        <f t="shared" si="55"/>
        <v>#VALUE!</v>
      </c>
      <c r="N162" s="15" t="e">
        <f t="shared" si="56"/>
        <v>#VALUE!</v>
      </c>
      <c r="O162" s="36" t="e">
        <f t="shared" si="46"/>
        <v>#VALUE!</v>
      </c>
      <c r="P162" s="36" t="str">
        <f t="shared" si="47"/>
        <v xml:space="preserve"> </v>
      </c>
      <c r="Q162" s="36" t="e">
        <f>IF(ISBLANK(comexem)=TRUE,ROUND($K162/optioncom*1000,2),ROUND(($K162+$L162)/optioncomex*1000,2))</f>
        <v>#VALUE!</v>
      </c>
      <c r="R162" s="36" t="e">
        <f>IF(ISBLANK(comexem)=TRUE,ROUND($L162/optionind*1000,2),ROUND(($K162+$L162)/optioncomex*1000,2))</f>
        <v>#VALUE!</v>
      </c>
      <c r="S162" s="37" t="e">
        <f t="shared" si="48"/>
        <v>#VALUE!</v>
      </c>
    </row>
    <row r="163" spans="1:19">
      <c r="A163" s="222">
        <v>1.69999999999999</v>
      </c>
      <c r="B163" s="205" t="e">
        <f t="shared" si="49"/>
        <v>#VALUE!</v>
      </c>
      <c r="C163" s="34" t="e">
        <f t="shared" si="41"/>
        <v>#VALUE!</v>
      </c>
      <c r="D163" s="35" t="e">
        <f t="shared" si="42"/>
        <v>#VALUE!</v>
      </c>
      <c r="E163" s="35" t="e">
        <f t="shared" si="43"/>
        <v>#VALUE!</v>
      </c>
      <c r="F163" s="35" t="e">
        <f t="shared" si="44"/>
        <v>#VALUE!</v>
      </c>
      <c r="G163" s="35" t="e">
        <f t="shared" si="45"/>
        <v>#VALUE!</v>
      </c>
      <c r="H163" s="33" t="e">
        <f t="shared" si="50"/>
        <v>#VALUE!</v>
      </c>
      <c r="I163" s="13" t="e">
        <f t="shared" si="51"/>
        <v>#VALUE!</v>
      </c>
      <c r="J163" s="14" t="e">
        <f t="shared" si="52"/>
        <v>#VALUE!</v>
      </c>
      <c r="K163" s="14" t="e">
        <f t="shared" si="53"/>
        <v>#VALUE!</v>
      </c>
      <c r="L163" s="14" t="e">
        <f t="shared" si="54"/>
        <v>#VALUE!</v>
      </c>
      <c r="M163" s="14" t="e">
        <f t="shared" si="55"/>
        <v>#VALUE!</v>
      </c>
      <c r="N163" s="15" t="e">
        <f t="shared" si="56"/>
        <v>#VALUE!</v>
      </c>
      <c r="O163" s="36" t="e">
        <f t="shared" si="46"/>
        <v>#VALUE!</v>
      </c>
      <c r="P163" s="36" t="str">
        <f t="shared" si="47"/>
        <v xml:space="preserve"> </v>
      </c>
      <c r="Q163" s="36" t="e">
        <f>IF(ISBLANK(comexem)=TRUE,ROUND($K163/optioncom*1000,2),ROUND(($K163+$L163)/optioncomex*1000,2))</f>
        <v>#VALUE!</v>
      </c>
      <c r="R163" s="36" t="e">
        <f>IF(ISBLANK(comexem)=TRUE,ROUND($L163/optionind*1000,2),ROUND(($K163+$L163)/optioncomex*1000,2))</f>
        <v>#VALUE!</v>
      </c>
      <c r="S163" s="37" t="e">
        <f t="shared" si="48"/>
        <v>#VALUE!</v>
      </c>
    </row>
    <row r="164" spans="1:19">
      <c r="A164" s="222">
        <v>1.7049999999999901</v>
      </c>
      <c r="B164" s="205" t="e">
        <f t="shared" si="49"/>
        <v>#VALUE!</v>
      </c>
      <c r="C164" s="34" t="e">
        <f t="shared" si="41"/>
        <v>#VALUE!</v>
      </c>
      <c r="D164" s="35" t="e">
        <f t="shared" si="42"/>
        <v>#VALUE!</v>
      </c>
      <c r="E164" s="35" t="e">
        <f t="shared" si="43"/>
        <v>#VALUE!</v>
      </c>
      <c r="F164" s="35" t="e">
        <f t="shared" si="44"/>
        <v>#VALUE!</v>
      </c>
      <c r="G164" s="35" t="e">
        <f t="shared" si="45"/>
        <v>#VALUE!</v>
      </c>
      <c r="H164" s="33" t="e">
        <f t="shared" si="50"/>
        <v>#VALUE!</v>
      </c>
      <c r="I164" s="13" t="e">
        <f t="shared" si="51"/>
        <v>#VALUE!</v>
      </c>
      <c r="J164" s="14" t="e">
        <f t="shared" si="52"/>
        <v>#VALUE!</v>
      </c>
      <c r="K164" s="14" t="e">
        <f t="shared" si="53"/>
        <v>#VALUE!</v>
      </c>
      <c r="L164" s="14" t="e">
        <f t="shared" si="54"/>
        <v>#VALUE!</v>
      </c>
      <c r="M164" s="14" t="e">
        <f t="shared" si="55"/>
        <v>#VALUE!</v>
      </c>
      <c r="N164" s="15" t="e">
        <f t="shared" si="56"/>
        <v>#VALUE!</v>
      </c>
      <c r="O164" s="36" t="e">
        <f t="shared" si="46"/>
        <v>#VALUE!</v>
      </c>
      <c r="P164" s="36" t="str">
        <f t="shared" si="47"/>
        <v xml:space="preserve"> </v>
      </c>
      <c r="Q164" s="36" t="e">
        <f>IF(ISBLANK(comexem)=TRUE,ROUND($K164/optioncom*1000,2),ROUND(($K164+$L164)/optioncomex*1000,2))</f>
        <v>#VALUE!</v>
      </c>
      <c r="R164" s="36" t="e">
        <f>IF(ISBLANK(comexem)=TRUE,ROUND($L164/optionind*1000,2),ROUND(($K164+$L164)/optioncomex*1000,2))</f>
        <v>#VALUE!</v>
      </c>
      <c r="S164" s="37" t="e">
        <f t="shared" si="48"/>
        <v>#VALUE!</v>
      </c>
    </row>
    <row r="165" spans="1:19">
      <c r="A165" s="222">
        <v>1.70999999999999</v>
      </c>
      <c r="B165" s="205" t="e">
        <f t="shared" si="49"/>
        <v>#VALUE!</v>
      </c>
      <c r="C165" s="34" t="e">
        <f t="shared" si="41"/>
        <v>#VALUE!</v>
      </c>
      <c r="D165" s="35" t="e">
        <f t="shared" si="42"/>
        <v>#VALUE!</v>
      </c>
      <c r="E165" s="35" t="e">
        <f t="shared" si="43"/>
        <v>#VALUE!</v>
      </c>
      <c r="F165" s="35" t="e">
        <f t="shared" si="44"/>
        <v>#VALUE!</v>
      </c>
      <c r="G165" s="35" t="e">
        <f t="shared" si="45"/>
        <v>#VALUE!</v>
      </c>
      <c r="H165" s="33" t="e">
        <f t="shared" si="50"/>
        <v>#VALUE!</v>
      </c>
      <c r="I165" s="13" t="e">
        <f t="shared" si="51"/>
        <v>#VALUE!</v>
      </c>
      <c r="J165" s="14" t="e">
        <f t="shared" si="52"/>
        <v>#VALUE!</v>
      </c>
      <c r="K165" s="14" t="e">
        <f t="shared" si="53"/>
        <v>#VALUE!</v>
      </c>
      <c r="L165" s="14" t="e">
        <f t="shared" si="54"/>
        <v>#VALUE!</v>
      </c>
      <c r="M165" s="14" t="e">
        <f t="shared" si="55"/>
        <v>#VALUE!</v>
      </c>
      <c r="N165" s="15" t="e">
        <f t="shared" si="56"/>
        <v>#VALUE!</v>
      </c>
      <c r="O165" s="36" t="e">
        <f t="shared" si="46"/>
        <v>#VALUE!</v>
      </c>
      <c r="P165" s="36" t="str">
        <f t="shared" si="47"/>
        <v xml:space="preserve"> </v>
      </c>
      <c r="Q165" s="36" t="e">
        <f>IF(ISBLANK(comexem)=TRUE,ROUND($K165/optioncom*1000,2),ROUND(($K165+$L165)/optioncomex*1000,2))</f>
        <v>#VALUE!</v>
      </c>
      <c r="R165" s="36" t="e">
        <f>IF(ISBLANK(comexem)=TRUE,ROUND($L165/optionind*1000,2),ROUND(($K165+$L165)/optioncomex*1000,2))</f>
        <v>#VALUE!</v>
      </c>
      <c r="S165" s="37" t="e">
        <f t="shared" si="48"/>
        <v>#VALUE!</v>
      </c>
    </row>
    <row r="166" spans="1:19">
      <c r="A166" s="222">
        <v>1.7149999999999901</v>
      </c>
      <c r="B166" s="205" t="e">
        <f t="shared" si="49"/>
        <v>#VALUE!</v>
      </c>
      <c r="C166" s="34" t="e">
        <f t="shared" si="41"/>
        <v>#VALUE!</v>
      </c>
      <c r="D166" s="35" t="e">
        <f t="shared" si="42"/>
        <v>#VALUE!</v>
      </c>
      <c r="E166" s="35" t="e">
        <f t="shared" si="43"/>
        <v>#VALUE!</v>
      </c>
      <c r="F166" s="35" t="e">
        <f t="shared" si="44"/>
        <v>#VALUE!</v>
      </c>
      <c r="G166" s="35" t="e">
        <f t="shared" si="45"/>
        <v>#VALUE!</v>
      </c>
      <c r="H166" s="33" t="e">
        <f t="shared" si="50"/>
        <v>#VALUE!</v>
      </c>
      <c r="I166" s="13" t="e">
        <f t="shared" si="51"/>
        <v>#VALUE!</v>
      </c>
      <c r="J166" s="14" t="e">
        <f t="shared" si="52"/>
        <v>#VALUE!</v>
      </c>
      <c r="K166" s="14" t="e">
        <f t="shared" si="53"/>
        <v>#VALUE!</v>
      </c>
      <c r="L166" s="14" t="e">
        <f t="shared" si="54"/>
        <v>#VALUE!</v>
      </c>
      <c r="M166" s="14" t="e">
        <f t="shared" si="55"/>
        <v>#VALUE!</v>
      </c>
      <c r="N166" s="15" t="e">
        <f t="shared" si="56"/>
        <v>#VALUE!</v>
      </c>
      <c r="O166" s="36" t="e">
        <f t="shared" si="46"/>
        <v>#VALUE!</v>
      </c>
      <c r="P166" s="36" t="str">
        <f t="shared" si="47"/>
        <v xml:space="preserve"> </v>
      </c>
      <c r="Q166" s="36" t="e">
        <f>IF(ISBLANK(comexem)=TRUE,ROUND($K166/optioncom*1000,2),ROUND(($K166+$L166)/optioncomex*1000,2))</f>
        <v>#VALUE!</v>
      </c>
      <c r="R166" s="36" t="e">
        <f>IF(ISBLANK(comexem)=TRUE,ROUND($L166/optionind*1000,2),ROUND(($K166+$L166)/optioncomex*1000,2))</f>
        <v>#VALUE!</v>
      </c>
      <c r="S166" s="37" t="e">
        <f t="shared" si="48"/>
        <v>#VALUE!</v>
      </c>
    </row>
    <row r="167" spans="1:19">
      <c r="A167" s="222">
        <v>1.71999999999999</v>
      </c>
      <c r="B167" s="205" t="e">
        <f t="shared" si="49"/>
        <v>#VALUE!</v>
      </c>
      <c r="C167" s="34" t="e">
        <f t="shared" si="41"/>
        <v>#VALUE!</v>
      </c>
      <c r="D167" s="35" t="e">
        <f t="shared" si="42"/>
        <v>#VALUE!</v>
      </c>
      <c r="E167" s="35" t="e">
        <f t="shared" si="43"/>
        <v>#VALUE!</v>
      </c>
      <c r="F167" s="35" t="e">
        <f t="shared" si="44"/>
        <v>#VALUE!</v>
      </c>
      <c r="G167" s="35" t="e">
        <f t="shared" si="45"/>
        <v>#VALUE!</v>
      </c>
      <c r="H167" s="33" t="e">
        <f t="shared" si="50"/>
        <v>#VALUE!</v>
      </c>
      <c r="I167" s="13" t="e">
        <f t="shared" si="51"/>
        <v>#VALUE!</v>
      </c>
      <c r="J167" s="14" t="e">
        <f t="shared" si="52"/>
        <v>#VALUE!</v>
      </c>
      <c r="K167" s="14" t="e">
        <f t="shared" si="53"/>
        <v>#VALUE!</v>
      </c>
      <c r="L167" s="14" t="e">
        <f t="shared" si="54"/>
        <v>#VALUE!</v>
      </c>
      <c r="M167" s="14" t="e">
        <f t="shared" si="55"/>
        <v>#VALUE!</v>
      </c>
      <c r="N167" s="15" t="e">
        <f t="shared" si="56"/>
        <v>#VALUE!</v>
      </c>
      <c r="O167" s="36" t="e">
        <f t="shared" si="46"/>
        <v>#VALUE!</v>
      </c>
      <c r="P167" s="36" t="str">
        <f t="shared" si="47"/>
        <v xml:space="preserve"> </v>
      </c>
      <c r="Q167" s="36" t="e">
        <f>IF(ISBLANK(comexem)=TRUE,ROUND($K167/optioncom*1000,2),ROUND(($K167+$L167)/optioncomex*1000,2))</f>
        <v>#VALUE!</v>
      </c>
      <c r="R167" s="36" t="e">
        <f>IF(ISBLANK(comexem)=TRUE,ROUND($L167/optionind*1000,2),ROUND(($K167+$L167)/optioncomex*1000,2))</f>
        <v>#VALUE!</v>
      </c>
      <c r="S167" s="37" t="e">
        <f t="shared" si="48"/>
        <v>#VALUE!</v>
      </c>
    </row>
    <row r="168" spans="1:19">
      <c r="A168" s="222">
        <v>1.7249999999999901</v>
      </c>
      <c r="B168" s="205" t="e">
        <f t="shared" si="49"/>
        <v>#VALUE!</v>
      </c>
      <c r="C168" s="34" t="e">
        <f t="shared" si="41"/>
        <v>#VALUE!</v>
      </c>
      <c r="D168" s="35" t="e">
        <f t="shared" si="42"/>
        <v>#VALUE!</v>
      </c>
      <c r="E168" s="35" t="e">
        <f t="shared" si="43"/>
        <v>#VALUE!</v>
      </c>
      <c r="F168" s="35" t="e">
        <f t="shared" si="44"/>
        <v>#VALUE!</v>
      </c>
      <c r="G168" s="35" t="e">
        <f t="shared" si="45"/>
        <v>#VALUE!</v>
      </c>
      <c r="H168" s="33" t="e">
        <f t="shared" si="50"/>
        <v>#VALUE!</v>
      </c>
      <c r="I168" s="13" t="e">
        <f t="shared" si="51"/>
        <v>#VALUE!</v>
      </c>
      <c r="J168" s="14" t="e">
        <f t="shared" si="52"/>
        <v>#VALUE!</v>
      </c>
      <c r="K168" s="14" t="e">
        <f t="shared" si="53"/>
        <v>#VALUE!</v>
      </c>
      <c r="L168" s="14" t="e">
        <f t="shared" si="54"/>
        <v>#VALUE!</v>
      </c>
      <c r="M168" s="14" t="e">
        <f t="shared" si="55"/>
        <v>#VALUE!</v>
      </c>
      <c r="N168" s="15" t="e">
        <f t="shared" si="56"/>
        <v>#VALUE!</v>
      </c>
      <c r="O168" s="36" t="e">
        <f t="shared" si="46"/>
        <v>#VALUE!</v>
      </c>
      <c r="P168" s="36" t="str">
        <f t="shared" si="47"/>
        <v xml:space="preserve"> </v>
      </c>
      <c r="Q168" s="36" t="e">
        <f>IF(ISBLANK(comexem)=TRUE,ROUND($K168/optioncom*1000,2),ROUND(($K168+$L168)/optioncomex*1000,2))</f>
        <v>#VALUE!</v>
      </c>
      <c r="R168" s="36" t="e">
        <f>IF(ISBLANK(comexem)=TRUE,ROUND($L168/optionind*1000,2),ROUND(($K168+$L168)/optioncomex*1000,2))</f>
        <v>#VALUE!</v>
      </c>
      <c r="S168" s="37" t="e">
        <f t="shared" si="48"/>
        <v>#VALUE!</v>
      </c>
    </row>
    <row r="169" spans="1:19">
      <c r="A169" s="222">
        <v>1.72999999999999</v>
      </c>
      <c r="B169" s="205" t="e">
        <f t="shared" si="49"/>
        <v>#VALUE!</v>
      </c>
      <c r="C169" s="34" t="e">
        <f t="shared" si="41"/>
        <v>#VALUE!</v>
      </c>
      <c r="D169" s="35" t="e">
        <f t="shared" si="42"/>
        <v>#VALUE!</v>
      </c>
      <c r="E169" s="35" t="e">
        <f t="shared" si="43"/>
        <v>#VALUE!</v>
      </c>
      <c r="F169" s="35" t="e">
        <f t="shared" si="44"/>
        <v>#VALUE!</v>
      </c>
      <c r="G169" s="35" t="e">
        <f t="shared" si="45"/>
        <v>#VALUE!</v>
      </c>
      <c r="H169" s="33" t="e">
        <f t="shared" si="50"/>
        <v>#VALUE!</v>
      </c>
      <c r="I169" s="13" t="e">
        <f t="shared" si="51"/>
        <v>#VALUE!</v>
      </c>
      <c r="J169" s="14" t="e">
        <f t="shared" si="52"/>
        <v>#VALUE!</v>
      </c>
      <c r="K169" s="14" t="e">
        <f t="shared" si="53"/>
        <v>#VALUE!</v>
      </c>
      <c r="L169" s="14" t="e">
        <f t="shared" si="54"/>
        <v>#VALUE!</v>
      </c>
      <c r="M169" s="14" t="e">
        <f t="shared" si="55"/>
        <v>#VALUE!</v>
      </c>
      <c r="N169" s="15" t="e">
        <f t="shared" si="56"/>
        <v>#VALUE!</v>
      </c>
      <c r="O169" s="36" t="e">
        <f t="shared" si="46"/>
        <v>#VALUE!</v>
      </c>
      <c r="P169" s="36" t="str">
        <f t="shared" si="47"/>
        <v xml:space="preserve"> </v>
      </c>
      <c r="Q169" s="36" t="e">
        <f>IF(ISBLANK(comexem)=TRUE,ROUND($K169/optioncom*1000,2),ROUND(($K169+$L169)/optioncomex*1000,2))</f>
        <v>#VALUE!</v>
      </c>
      <c r="R169" s="36" t="e">
        <f>IF(ISBLANK(comexem)=TRUE,ROUND($L169/optionind*1000,2),ROUND(($K169+$L169)/optioncomex*1000,2))</f>
        <v>#VALUE!</v>
      </c>
      <c r="S169" s="37" t="e">
        <f t="shared" si="48"/>
        <v>#VALUE!</v>
      </c>
    </row>
    <row r="170" spans="1:19">
      <c r="A170" s="222">
        <v>1.7349999999999901</v>
      </c>
      <c r="B170" s="205" t="e">
        <f t="shared" si="49"/>
        <v>#VALUE!</v>
      </c>
      <c r="C170" s="34" t="e">
        <f t="shared" si="41"/>
        <v>#VALUE!</v>
      </c>
      <c r="D170" s="35" t="e">
        <f t="shared" si="42"/>
        <v>#VALUE!</v>
      </c>
      <c r="E170" s="35" t="e">
        <f t="shared" si="43"/>
        <v>#VALUE!</v>
      </c>
      <c r="F170" s="35" t="e">
        <f t="shared" si="44"/>
        <v>#VALUE!</v>
      </c>
      <c r="G170" s="35" t="e">
        <f t="shared" si="45"/>
        <v>#VALUE!</v>
      </c>
      <c r="H170" s="33" t="e">
        <f t="shared" si="50"/>
        <v>#VALUE!</v>
      </c>
      <c r="I170" s="13" t="e">
        <f t="shared" si="51"/>
        <v>#VALUE!</v>
      </c>
      <c r="J170" s="14" t="e">
        <f t="shared" si="52"/>
        <v>#VALUE!</v>
      </c>
      <c r="K170" s="14" t="e">
        <f t="shared" si="53"/>
        <v>#VALUE!</v>
      </c>
      <c r="L170" s="14" t="e">
        <f t="shared" si="54"/>
        <v>#VALUE!</v>
      </c>
      <c r="M170" s="14" t="e">
        <f t="shared" si="55"/>
        <v>#VALUE!</v>
      </c>
      <c r="N170" s="15" t="e">
        <f t="shared" si="56"/>
        <v>#VALUE!</v>
      </c>
      <c r="O170" s="36" t="e">
        <f t="shared" si="46"/>
        <v>#VALUE!</v>
      </c>
      <c r="P170" s="36" t="str">
        <f t="shared" si="47"/>
        <v xml:space="preserve"> </v>
      </c>
      <c r="Q170" s="36" t="e">
        <f>IF(ISBLANK(comexem)=TRUE,ROUND($K170/optioncom*1000,2),ROUND(($K170+$L170)/optioncomex*1000,2))</f>
        <v>#VALUE!</v>
      </c>
      <c r="R170" s="36" t="e">
        <f>IF(ISBLANK(comexem)=TRUE,ROUND($L170/optionind*1000,2),ROUND(($K170+$L170)/optioncomex*1000,2))</f>
        <v>#VALUE!</v>
      </c>
      <c r="S170" s="37" t="e">
        <f t="shared" si="48"/>
        <v>#VALUE!</v>
      </c>
    </row>
    <row r="171" spans="1:19">
      <c r="A171" s="222">
        <v>1.73999999999999</v>
      </c>
      <c r="B171" s="205" t="e">
        <f t="shared" si="49"/>
        <v>#VALUE!</v>
      </c>
      <c r="C171" s="34" t="e">
        <f t="shared" si="41"/>
        <v>#VALUE!</v>
      </c>
      <c r="D171" s="35" t="e">
        <f t="shared" si="42"/>
        <v>#VALUE!</v>
      </c>
      <c r="E171" s="35" t="e">
        <f t="shared" si="43"/>
        <v>#VALUE!</v>
      </c>
      <c r="F171" s="35" t="e">
        <f t="shared" si="44"/>
        <v>#VALUE!</v>
      </c>
      <c r="G171" s="35" t="e">
        <f t="shared" si="45"/>
        <v>#VALUE!</v>
      </c>
      <c r="H171" s="33" t="e">
        <f t="shared" si="50"/>
        <v>#VALUE!</v>
      </c>
      <c r="I171" s="13" t="e">
        <f t="shared" si="51"/>
        <v>#VALUE!</v>
      </c>
      <c r="J171" s="14" t="e">
        <f t="shared" si="52"/>
        <v>#VALUE!</v>
      </c>
      <c r="K171" s="14" t="e">
        <f t="shared" si="53"/>
        <v>#VALUE!</v>
      </c>
      <c r="L171" s="14" t="e">
        <f t="shared" si="54"/>
        <v>#VALUE!</v>
      </c>
      <c r="M171" s="14" t="e">
        <f t="shared" si="55"/>
        <v>#VALUE!</v>
      </c>
      <c r="N171" s="15" t="e">
        <f t="shared" si="56"/>
        <v>#VALUE!</v>
      </c>
      <c r="O171" s="36" t="e">
        <f t="shared" si="46"/>
        <v>#VALUE!</v>
      </c>
      <c r="P171" s="36" t="str">
        <f t="shared" si="47"/>
        <v xml:space="preserve"> </v>
      </c>
      <c r="Q171" s="36" t="e">
        <f>IF(ISBLANK(comexem)=TRUE,ROUND($K171/optioncom*1000,2),ROUND(($K171+$L171)/optioncomex*1000,2))</f>
        <v>#VALUE!</v>
      </c>
      <c r="R171" s="36" t="e">
        <f>IF(ISBLANK(comexem)=TRUE,ROUND($L171/optionind*1000,2),ROUND(($K171+$L171)/optioncomex*1000,2))</f>
        <v>#VALUE!</v>
      </c>
      <c r="S171" s="37" t="e">
        <f t="shared" si="48"/>
        <v>#VALUE!</v>
      </c>
    </row>
    <row r="172" spans="1:19">
      <c r="A172" s="222">
        <v>1.7449999999999899</v>
      </c>
      <c r="B172" s="205" t="e">
        <f t="shared" si="49"/>
        <v>#VALUE!</v>
      </c>
      <c r="C172" s="34" t="e">
        <f t="shared" si="41"/>
        <v>#VALUE!</v>
      </c>
      <c r="D172" s="35" t="e">
        <f t="shared" si="42"/>
        <v>#VALUE!</v>
      </c>
      <c r="E172" s="35" t="e">
        <f t="shared" si="43"/>
        <v>#VALUE!</v>
      </c>
      <c r="F172" s="35" t="e">
        <f t="shared" si="44"/>
        <v>#VALUE!</v>
      </c>
      <c r="G172" s="35" t="e">
        <f t="shared" si="45"/>
        <v>#VALUE!</v>
      </c>
      <c r="H172" s="33" t="e">
        <f t="shared" si="50"/>
        <v>#VALUE!</v>
      </c>
      <c r="I172" s="13" t="e">
        <f t="shared" si="51"/>
        <v>#VALUE!</v>
      </c>
      <c r="J172" s="14" t="e">
        <f t="shared" si="52"/>
        <v>#VALUE!</v>
      </c>
      <c r="K172" s="14" t="e">
        <f t="shared" si="53"/>
        <v>#VALUE!</v>
      </c>
      <c r="L172" s="14" t="e">
        <f t="shared" si="54"/>
        <v>#VALUE!</v>
      </c>
      <c r="M172" s="14" t="e">
        <f t="shared" si="55"/>
        <v>#VALUE!</v>
      </c>
      <c r="N172" s="15" t="e">
        <f t="shared" si="56"/>
        <v>#VALUE!</v>
      </c>
      <c r="O172" s="36" t="e">
        <f t="shared" si="46"/>
        <v>#VALUE!</v>
      </c>
      <c r="P172" s="36" t="str">
        <f t="shared" si="47"/>
        <v xml:space="preserve"> </v>
      </c>
      <c r="Q172" s="36" t="e">
        <f>IF(ISBLANK(comexem)=TRUE,ROUND($K172/optioncom*1000,2),ROUND(($K172+$L172)/optioncomex*1000,2))</f>
        <v>#VALUE!</v>
      </c>
      <c r="R172" s="36" t="e">
        <f>IF(ISBLANK(comexem)=TRUE,ROUND($L172/optionind*1000,2),ROUND(($K172+$L172)/optioncomex*1000,2))</f>
        <v>#VALUE!</v>
      </c>
      <c r="S172" s="37" t="e">
        <f t="shared" si="48"/>
        <v>#VALUE!</v>
      </c>
    </row>
    <row r="173" spans="1:19">
      <c r="A173" s="222">
        <v>1.74999999999999</v>
      </c>
      <c r="B173" s="205" t="e">
        <f t="shared" si="49"/>
        <v>#VALUE!</v>
      </c>
      <c r="C173" s="34" t="e">
        <f t="shared" si="41"/>
        <v>#VALUE!</v>
      </c>
      <c r="D173" s="35" t="e">
        <f t="shared" si="42"/>
        <v>#VALUE!</v>
      </c>
      <c r="E173" s="35" t="e">
        <f t="shared" si="43"/>
        <v>#VALUE!</v>
      </c>
      <c r="F173" s="35" t="e">
        <f t="shared" si="44"/>
        <v>#VALUE!</v>
      </c>
      <c r="G173" s="35" t="e">
        <f t="shared" si="45"/>
        <v>#VALUE!</v>
      </c>
      <c r="H173" s="33" t="e">
        <f t="shared" si="50"/>
        <v>#VALUE!</v>
      </c>
      <c r="I173" s="13" t="e">
        <f t="shared" si="51"/>
        <v>#VALUE!</v>
      </c>
      <c r="J173" s="14" t="e">
        <f t="shared" si="52"/>
        <v>#VALUE!</v>
      </c>
      <c r="K173" s="14" t="e">
        <f t="shared" si="53"/>
        <v>#VALUE!</v>
      </c>
      <c r="L173" s="14" t="e">
        <f t="shared" si="54"/>
        <v>#VALUE!</v>
      </c>
      <c r="M173" s="14" t="e">
        <f t="shared" si="55"/>
        <v>#VALUE!</v>
      </c>
      <c r="N173" s="15" t="e">
        <f t="shared" si="56"/>
        <v>#VALUE!</v>
      </c>
      <c r="O173" s="36" t="e">
        <f t="shared" si="46"/>
        <v>#VALUE!</v>
      </c>
      <c r="P173" s="36" t="str">
        <f t="shared" si="47"/>
        <v xml:space="preserve"> </v>
      </c>
      <c r="Q173" s="36" t="e">
        <f>IF(ISBLANK(comexem)=TRUE,ROUND($K173/optioncom*1000,2),ROUND(($K173+$L173)/optioncomex*1000,2))</f>
        <v>#VALUE!</v>
      </c>
      <c r="R173" s="36" t="e">
        <f>IF(ISBLANK(comexem)=TRUE,ROUND($L173/optionind*1000,2),ROUND(($K173+$L173)/optioncomex*1000,2))</f>
        <v>#VALUE!</v>
      </c>
      <c r="S173" s="37" t="e">
        <f t="shared" si="48"/>
        <v>#VALUE!</v>
      </c>
    </row>
  </sheetData>
  <mergeCells count="25">
    <mergeCell ref="AA78:AA79"/>
    <mergeCell ref="W76:X76"/>
    <mergeCell ref="AA5:AB5"/>
    <mergeCell ref="F9:G9"/>
    <mergeCell ref="J9:K9"/>
    <mergeCell ref="G15:H15"/>
    <mergeCell ref="J6:K6"/>
    <mergeCell ref="W77:X77"/>
    <mergeCell ref="Y78:Y79"/>
    <mergeCell ref="AA9:AB9"/>
    <mergeCell ref="AA8:AB8"/>
    <mergeCell ref="W82:X82"/>
    <mergeCell ref="W78:X79"/>
    <mergeCell ref="W80:X80"/>
    <mergeCell ref="W81:X81"/>
    <mergeCell ref="F2:J2"/>
    <mergeCell ref="C15:D15"/>
    <mergeCell ref="C13:D13"/>
    <mergeCell ref="AC5:AD5"/>
    <mergeCell ref="F4:G4"/>
    <mergeCell ref="A1:C1"/>
    <mergeCell ref="J14:M14"/>
    <mergeCell ref="E14:H14"/>
    <mergeCell ref="A12:B12"/>
    <mergeCell ref="J12:K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9"/>
  <sheetViews>
    <sheetView showGridLines="0" workbookViewId="0">
      <selection activeCell="C6" sqref="C6"/>
    </sheetView>
  </sheetViews>
  <sheetFormatPr defaultColWidth="9.7109375" defaultRowHeight="15"/>
  <cols>
    <col min="1" max="1" width="4.85546875" style="11" customWidth="1"/>
    <col min="2" max="2" width="56.42578125" style="11" customWidth="1"/>
    <col min="3" max="3" width="26.28515625" style="11" customWidth="1"/>
    <col min="4" max="4" width="6.7109375" style="11" customWidth="1"/>
    <col min="5" max="5" width="20.42578125" style="11" customWidth="1"/>
    <col min="6" max="6" width="23.140625" style="11" customWidth="1"/>
    <col min="7" max="7" width="4.140625" style="11" customWidth="1"/>
    <col min="8" max="9" width="14.28515625" style="11" customWidth="1"/>
    <col min="10" max="10" width="11.28515625" style="11" bestFit="1" customWidth="1"/>
    <col min="11" max="11" width="10" style="11" customWidth="1"/>
    <col min="12" max="12" width="16.5703125" style="11" bestFit="1" customWidth="1"/>
    <col min="13" max="13" width="14.28515625" style="11" bestFit="1" customWidth="1"/>
    <col min="14" max="14" width="15" style="11" customWidth="1"/>
    <col min="15" max="15" width="10.28515625" style="11" customWidth="1"/>
    <col min="16" max="16" width="9.7109375" style="241"/>
    <col min="17" max="16384" width="9.7109375" style="11"/>
  </cols>
  <sheetData>
    <row r="1" spans="1:16" ht="31.5" customHeight="1">
      <c r="B1" s="239" t="s">
        <v>618</v>
      </c>
      <c r="C1" s="240"/>
      <c r="D1" s="240"/>
      <c r="E1" s="240"/>
    </row>
    <row r="2" spans="1:16" ht="19.5" thickBot="1">
      <c r="B2" s="242" t="s">
        <v>23</v>
      </c>
      <c r="C2" s="243"/>
      <c r="D2" s="243"/>
      <c r="E2" s="244"/>
    </row>
    <row r="3" spans="1:16" ht="19.5" thickTop="1">
      <c r="B3" s="242" t="s">
        <v>619</v>
      </c>
      <c r="C3" s="243"/>
      <c r="D3" s="243"/>
      <c r="E3" s="245" t="s">
        <v>623</v>
      </c>
      <c r="F3" s="245"/>
    </row>
    <row r="4" spans="1:16" ht="18.75">
      <c r="A4" s="242"/>
      <c r="B4" s="243"/>
      <c r="C4" s="243"/>
      <c r="D4" s="243"/>
      <c r="E4" s="243"/>
      <c r="F4" s="245"/>
    </row>
    <row r="5" spans="1:16" ht="18.75">
      <c r="A5" s="242"/>
      <c r="B5" s="322" t="s">
        <v>624</v>
      </c>
      <c r="C5" s="323"/>
      <c r="D5" s="323"/>
      <c r="E5" s="323"/>
      <c r="F5" s="245"/>
    </row>
    <row r="6" spans="1:16" ht="20.25" customHeight="1">
      <c r="A6" s="246"/>
      <c r="B6" s="247" t="s">
        <v>620</v>
      </c>
      <c r="C6" s="248">
        <v>2026</v>
      </c>
      <c r="E6" s="249"/>
    </row>
    <row r="7" spans="1:16" ht="20.25" customHeight="1" thickBot="1">
      <c r="A7" s="246"/>
      <c r="B7" s="250"/>
      <c r="C7" s="251"/>
      <c r="D7" s="252"/>
      <c r="E7" s="253"/>
    </row>
    <row r="8" spans="1:16" ht="19.5" thickTop="1">
      <c r="B8" s="254" t="s">
        <v>250</v>
      </c>
      <c r="C8" s="243"/>
      <c r="D8" s="243"/>
      <c r="E8" s="243"/>
    </row>
    <row r="9" spans="1:16" ht="18.75">
      <c r="A9" s="255"/>
      <c r="B9" s="256"/>
      <c r="C9" s="255"/>
      <c r="D9" s="256"/>
      <c r="E9" s="256"/>
    </row>
    <row r="10" spans="1:16" s="259" customFormat="1" ht="15.75" customHeight="1">
      <c r="A10" s="257" t="s">
        <v>251</v>
      </c>
      <c r="B10" s="277" t="str">
        <f>CONCATENATE("TO CALCULATE THE FY ", (Cur_FY-1), " LEVY LIMIT")</f>
        <v>TO CALCULATE THE FY 2025 LEVY LIMIT</v>
      </c>
      <c r="C10" s="258"/>
      <c r="D10" s="79"/>
      <c r="P10" s="260"/>
    </row>
    <row r="11" spans="1:16" s="259" customFormat="1" ht="15.75" customHeight="1">
      <c r="A11" s="261"/>
      <c r="B11" s="262"/>
      <c r="C11" s="258"/>
      <c r="D11" s="79"/>
      <c r="E11" s="79"/>
      <c r="P11" s="260"/>
    </row>
    <row r="12" spans="1:16" s="259" customFormat="1" ht="18" customHeight="1">
      <c r="A12" s="123"/>
      <c r="B12" s="130" t="str">
        <f>CONCATENATE("   A.    FY ", (Cur_FY-2), " Levy Limit")</f>
        <v xml:space="preserve">   A.    FY 2024 Levy Limit</v>
      </c>
      <c r="C12" s="215">
        <v>0</v>
      </c>
      <c r="D12" s="79"/>
      <c r="P12" s="260"/>
    </row>
    <row r="13" spans="1:16" s="259" customFormat="1" ht="20.100000000000001" customHeight="1">
      <c r="A13" s="261"/>
      <c r="B13" s="130" t="str">
        <f>CONCATENATE("  A1.   Add Amended FY ", (Cur_FY-2), " Growth")</f>
        <v xml:space="preserve">  A1.   Add Amended FY 2024 Growth</v>
      </c>
      <c r="C13" s="215">
        <v>0</v>
      </c>
      <c r="D13" s="79"/>
      <c r="P13" s="260"/>
    </row>
    <row r="14" spans="1:16" s="259" customFormat="1" ht="20.100000000000001" customHeight="1">
      <c r="A14" s="123"/>
      <c r="B14" s="278" t="s">
        <v>252</v>
      </c>
      <c r="C14" s="279">
        <f>ROUND((C12+C13)*0.025,0)</f>
        <v>0</v>
      </c>
      <c r="D14" s="79"/>
      <c r="E14" s="79"/>
      <c r="P14" s="260"/>
    </row>
    <row r="15" spans="1:16" s="259" customFormat="1" ht="18" customHeight="1">
      <c r="A15" s="123"/>
      <c r="B15" s="130" t="str">
        <f>CONCATENATE("  C.    Add FY ", (Cur_FY-1), " New Growth")</f>
        <v xml:space="preserve">  C.    Add FY 2025 New Growth</v>
      </c>
      <c r="C15" s="215">
        <v>0</v>
      </c>
      <c r="D15" s="79"/>
      <c r="P15" s="260"/>
    </row>
    <row r="16" spans="1:16" s="259" customFormat="1" ht="18" customHeight="1">
      <c r="A16" s="123"/>
      <c r="B16" s="85" t="str">
        <f>CONCATENATE("  C1.  Add FY ", (Cur_FY-1), " New Growth Adjustment")</f>
        <v xml:space="preserve">  C1.  Add FY 2025 New Growth Adjustment</v>
      </c>
      <c r="C16" s="215">
        <v>0</v>
      </c>
      <c r="D16" s="79"/>
      <c r="P16" s="260"/>
    </row>
    <row r="17" spans="1:16" s="259" customFormat="1" ht="18" customHeight="1">
      <c r="A17" s="123"/>
      <c r="B17" s="85" t="str">
        <f>CONCATENATE("  D.    Add FY ", (Cur_FY-1), " Override")</f>
        <v xml:space="preserve">  D.    Add FY 2025 Override</v>
      </c>
      <c r="C17" s="215">
        <v>0</v>
      </c>
      <c r="D17" s="79"/>
      <c r="P17" s="260"/>
    </row>
    <row r="18" spans="1:16" s="259" customFormat="1" ht="18" customHeight="1">
      <c r="A18" s="123"/>
      <c r="B18" s="85" t="str">
        <f>CONCATENATE("  E.    FY ", (Cur_FY-1), " Subtotal")</f>
        <v xml:space="preserve">  E.    FY 2025 Subtotal</v>
      </c>
      <c r="C18" s="279">
        <f>SUM(C12:C17)</f>
        <v>0</v>
      </c>
      <c r="D18" s="79"/>
      <c r="P18" s="260"/>
    </row>
    <row r="19" spans="1:16" s="259" customFormat="1" ht="17.25" customHeight="1">
      <c r="A19" s="79"/>
      <c r="B19" s="263"/>
      <c r="C19" s="264"/>
      <c r="D19" s="257" t="s">
        <v>251</v>
      </c>
      <c r="E19" s="280">
        <f>IF(C18&gt;C20,C20,C18)</f>
        <v>0</v>
      </c>
      <c r="P19" s="260"/>
    </row>
    <row r="20" spans="1:16" s="259" customFormat="1">
      <c r="A20" s="123"/>
      <c r="B20" s="85" t="str">
        <f>CONCATENATE("  F.    FY ", (Cur_FY-1), " Levy Ceiling")</f>
        <v xml:space="preserve">  F.    FY 2025 Levy Ceiling</v>
      </c>
      <c r="C20" s="215">
        <v>0</v>
      </c>
      <c r="D20" s="79"/>
      <c r="E20" s="79" t="str">
        <f>CONCATENATE("FY ",(Cur_FY-1)," Levy Limit")</f>
        <v>FY 2025 Levy Limit</v>
      </c>
      <c r="P20" s="260"/>
    </row>
    <row r="21" spans="1:16" s="259" customFormat="1" ht="14.25">
      <c r="A21" s="79"/>
      <c r="B21" s="79"/>
      <c r="C21" s="264"/>
      <c r="D21" s="79"/>
      <c r="E21" s="261"/>
      <c r="P21" s="260"/>
    </row>
    <row r="22" spans="1:16" s="259" customFormat="1" ht="14.25">
      <c r="A22" s="79"/>
      <c r="B22" s="79"/>
      <c r="C22" s="258"/>
      <c r="D22" s="79"/>
      <c r="P22" s="260"/>
    </row>
    <row r="23" spans="1:16" s="259" customFormat="1">
      <c r="A23" s="257" t="s">
        <v>253</v>
      </c>
      <c r="B23" s="277" t="str">
        <f>CONCATENATE("TO CALCULATE THE FY ", (Cur_FY), " LEVY LIMIT")</f>
        <v>TO CALCULATE THE FY 2026 LEVY LIMIT</v>
      </c>
      <c r="C23" s="258"/>
      <c r="D23" s="79"/>
      <c r="E23" s="261"/>
      <c r="P23" s="260"/>
    </row>
    <row r="24" spans="1:16" s="259" customFormat="1" ht="20.100000000000001" customHeight="1">
      <c r="A24" s="123"/>
      <c r="B24" s="85" t="str">
        <f>CONCATENATE("  A.     FY ",(Cur_FY-1)," Levy Limit  from I. above")</f>
        <v xml:space="preserve">  A.     FY 2025 Levy Limit  from I. above</v>
      </c>
      <c r="C24" s="279">
        <f>levylimI</f>
        <v>0</v>
      </c>
      <c r="D24" s="79"/>
      <c r="E24" s="79"/>
      <c r="P24" s="260"/>
    </row>
    <row r="25" spans="1:16" s="259" customFormat="1" ht="18" customHeight="1">
      <c r="A25" s="261"/>
      <c r="B25" s="130" t="str">
        <f>CONCATENATE("  A1.   Add Amended FY ", (Cur_FY-1), " Growth")</f>
        <v xml:space="preserve">  A1.   Add Amended FY 2025 Growth</v>
      </c>
      <c r="C25" s="215">
        <v>0</v>
      </c>
      <c r="D25" s="79"/>
      <c r="E25" s="79"/>
      <c r="P25" s="260"/>
    </row>
    <row r="26" spans="1:16" s="259" customFormat="1" ht="20.100000000000001" customHeight="1">
      <c r="A26" s="123"/>
      <c r="B26" s="278" t="s">
        <v>254</v>
      </c>
      <c r="C26" s="281">
        <f>ROUND((C24+C25)*0.025,0)</f>
        <v>0</v>
      </c>
      <c r="D26" s="79"/>
      <c r="E26" s="79"/>
      <c r="P26" s="260"/>
    </row>
    <row r="27" spans="1:16" s="259" customFormat="1" ht="18" customHeight="1">
      <c r="A27" s="123"/>
      <c r="B27" s="130" t="str">
        <f>CONCATENATE("  C.    Add FY ", (Cur_FY), " New Growth")</f>
        <v xml:space="preserve">  C.    Add FY 2026 New Growth</v>
      </c>
      <c r="C27" s="215">
        <v>0</v>
      </c>
      <c r="D27" s="79"/>
      <c r="E27" s="79"/>
      <c r="P27" s="260"/>
    </row>
    <row r="28" spans="1:16" s="259" customFormat="1" ht="18" customHeight="1">
      <c r="A28" s="123"/>
      <c r="B28" s="85" t="str">
        <f>CONCATENATE("  C1.  Add FY ", (Cur_FY), " New Growth Adjustment")</f>
        <v xml:space="preserve">  C1.  Add FY 2026 New Growth Adjustment</v>
      </c>
      <c r="C28" s="215">
        <v>0</v>
      </c>
      <c r="D28" s="79"/>
      <c r="E28" s="79"/>
      <c r="P28" s="260"/>
    </row>
    <row r="29" spans="1:16" s="259" customFormat="1" ht="18" customHeight="1">
      <c r="A29" s="123"/>
      <c r="B29" s="85" t="str">
        <f>CONCATENATE("  D.    Add FY ", (Cur_FY), " Override")</f>
        <v xml:space="preserve">  D.    Add FY 2026 Override</v>
      </c>
      <c r="C29" s="215">
        <v>0</v>
      </c>
      <c r="D29" s="79"/>
      <c r="E29" s="79"/>
      <c r="P29" s="260"/>
    </row>
    <row r="30" spans="1:16" s="259" customFormat="1" ht="18" customHeight="1">
      <c r="A30" s="123"/>
      <c r="B30" s="85" t="str">
        <f>CONCATENATE("  E.    FY ", (Cur_FY), " Subtotal")</f>
        <v xml:space="preserve">  E.    FY 2026 Subtotal</v>
      </c>
      <c r="C30" s="281">
        <f>SUM(C24:C29)</f>
        <v>0</v>
      </c>
      <c r="D30" s="79"/>
      <c r="E30" s="79"/>
      <c r="P30" s="260"/>
    </row>
    <row r="31" spans="1:16" s="259" customFormat="1" ht="17.25" customHeight="1">
      <c r="A31" s="79"/>
      <c r="B31" s="263"/>
      <c r="C31" s="264"/>
      <c r="D31" s="257" t="s">
        <v>253</v>
      </c>
      <c r="E31" s="280">
        <f>IF(C30&gt;C32,C32,C30)</f>
        <v>0</v>
      </c>
      <c r="P31" s="260"/>
    </row>
    <row r="32" spans="1:16" s="259" customFormat="1" ht="17.25" customHeight="1">
      <c r="A32" s="123"/>
      <c r="B32" s="85" t="str">
        <f>CONCATENATE("  F.    FY ", (Cur_FY), " Levy Ceiling")</f>
        <v xml:space="preserve">  F.    FY 2026 Levy Ceiling</v>
      </c>
      <c r="C32" s="279">
        <f>optiontot*0.025</f>
        <v>0</v>
      </c>
      <c r="D32" s="79"/>
      <c r="E32" s="79" t="str">
        <f>CONCATENATE("FY ",(Cur_FY)," Levy Limit")</f>
        <v>FY 2026 Levy Limit</v>
      </c>
      <c r="P32" s="260"/>
    </row>
    <row r="33" spans="1:16" s="259" customFormat="1" ht="14.25">
      <c r="A33" s="79"/>
      <c r="B33" s="79"/>
      <c r="C33" s="264"/>
      <c r="D33" s="79"/>
      <c r="P33" s="260"/>
    </row>
    <row r="34" spans="1:16" s="259" customFormat="1" ht="14.25">
      <c r="A34" s="79"/>
      <c r="B34" s="79"/>
      <c r="C34" s="258"/>
      <c r="D34" s="79"/>
      <c r="E34" s="261"/>
      <c r="P34" s="260"/>
    </row>
    <row r="35" spans="1:16" s="259" customFormat="1">
      <c r="A35" s="257" t="s">
        <v>255</v>
      </c>
      <c r="C35" s="258"/>
      <c r="D35" s="79"/>
      <c r="E35" s="261"/>
      <c r="P35" s="260"/>
    </row>
    <row r="36" spans="1:16" s="259" customFormat="1">
      <c r="A36" s="79"/>
      <c r="B36" s="277" t="str">
        <f>CONCATENATE("TO CALCULATE THE FY ", (Cur_FY), " MAXIMUM ALLOWABLE LEVY")</f>
        <v>TO CALCULATE THE FY 2026 MAXIMUM ALLOWABLE LEVY</v>
      </c>
      <c r="C36" s="258"/>
      <c r="D36" s="79"/>
      <c r="E36" s="79"/>
      <c r="P36" s="260"/>
    </row>
    <row r="37" spans="1:16" s="259" customFormat="1" ht="14.25">
      <c r="A37" s="79"/>
      <c r="B37" s="79"/>
      <c r="C37" s="258"/>
      <c r="D37" s="79"/>
      <c r="E37" s="79"/>
      <c r="P37" s="260"/>
    </row>
    <row r="38" spans="1:16" s="259" customFormat="1" ht="20.25" customHeight="1">
      <c r="A38" s="123"/>
      <c r="B38" s="85" t="str">
        <f>CONCATENATE("  A.     FY ",(Cur_FY)," Levy Limit  from II. above")</f>
        <v xml:space="preserve">  A.     FY 2026 Levy Limit  from II. above</v>
      </c>
      <c r="C38" s="279">
        <f>levylimII</f>
        <v>0</v>
      </c>
      <c r="D38" s="79"/>
      <c r="E38" s="79"/>
      <c r="P38" s="260"/>
    </row>
    <row r="39" spans="1:16" s="259" customFormat="1" ht="20.25" customHeight="1">
      <c r="A39" s="123"/>
      <c r="B39" s="130" t="str">
        <f>CONCATENATE("  B.    FY ", (Cur_FY), " Debt Exclusion(s)")</f>
        <v xml:space="preserve">  B.    FY 2026 Debt Exclusion(s)</v>
      </c>
      <c r="C39" s="215">
        <v>0</v>
      </c>
      <c r="D39" s="79"/>
      <c r="E39" s="79"/>
      <c r="P39" s="260"/>
    </row>
    <row r="40" spans="1:16" s="259" customFormat="1" ht="20.25" customHeight="1">
      <c r="A40" s="123"/>
      <c r="B40" s="130" t="str">
        <f>CONCATENATE("  C.    FY ", (Cur_FY), " Capital Expenditure Exclusion(s)")</f>
        <v xml:space="preserve">  C.    FY 2026 Capital Expenditure Exclusion(s)</v>
      </c>
      <c r="C40" s="215">
        <v>0</v>
      </c>
      <c r="D40" s="79"/>
      <c r="E40" s="79"/>
      <c r="P40" s="260"/>
    </row>
    <row r="41" spans="1:16" s="259" customFormat="1" ht="20.25" customHeight="1">
      <c r="A41" s="123"/>
      <c r="B41" s="130" t="str">
        <f>CONCATENATE("  D.    FY ", (Cur_FY), " Stabilization Fund Override")</f>
        <v xml:space="preserve">  D.    FY 2026 Stabilization Fund Override</v>
      </c>
      <c r="C41" s="215">
        <v>0</v>
      </c>
      <c r="D41" s="79"/>
      <c r="E41" s="79"/>
      <c r="P41" s="260"/>
    </row>
    <row r="42" spans="1:16" s="259" customFormat="1" ht="20.25" customHeight="1">
      <c r="A42" s="265"/>
      <c r="B42" s="130" t="str">
        <f>CONCATENATE("  E.    FY ", (Cur_FY), " Other Adjustment")</f>
        <v xml:space="preserve">  E.    FY 2026 Other Adjustment</v>
      </c>
      <c r="C42" s="215">
        <v>0</v>
      </c>
      <c r="D42" s="79"/>
      <c r="E42" s="266"/>
      <c r="P42" s="260"/>
    </row>
    <row r="43" spans="1:16" s="259" customFormat="1" ht="20.25" customHeight="1">
      <c r="A43" s="265"/>
      <c r="B43" s="130" t="str">
        <f>CONCATENATE("  F.    FY ", (Cur_FY), " Water/Sewer")</f>
        <v xml:space="preserve">  F.    FY 2026 Water/Sewer</v>
      </c>
      <c r="C43" s="215">
        <v>0</v>
      </c>
      <c r="D43" s="79"/>
      <c r="E43" s="266"/>
      <c r="P43" s="260"/>
    </row>
    <row r="44" spans="1:16" s="259" customFormat="1" ht="13.5" customHeight="1">
      <c r="A44" s="79"/>
      <c r="B44" s="263"/>
      <c r="C44" s="264"/>
      <c r="D44" s="79"/>
      <c r="E44" s="79"/>
      <c r="P44" s="260"/>
    </row>
    <row r="45" spans="1:16" s="259" customFormat="1" ht="20.25" customHeight="1">
      <c r="A45" s="123"/>
      <c r="B45" s="130" t="str">
        <f>CONCATENATE("  G.    FY ", (Cur_FY), " Maximum Allowable Levy")</f>
        <v xml:space="preserve">  G.    FY 2026 Maximum Allowable Levy</v>
      </c>
      <c r="C45" s="282">
        <f>SUM(C38:C43)</f>
        <v>0</v>
      </c>
      <c r="D45" s="79"/>
      <c r="E45" s="79"/>
      <c r="P45" s="260"/>
    </row>
    <row r="46" spans="1:16" s="259" customFormat="1" ht="14.25">
      <c r="A46" s="79"/>
      <c r="B46" s="267"/>
      <c r="C46" s="124"/>
      <c r="D46" s="79"/>
      <c r="E46" s="79"/>
      <c r="P46" s="260"/>
    </row>
    <row r="47" spans="1:16" s="259" customFormat="1">
      <c r="A47" s="79"/>
      <c r="B47" s="79"/>
      <c r="C47" s="79"/>
      <c r="D47" s="79"/>
      <c r="E47" s="79"/>
      <c r="H47" s="11"/>
      <c r="I47" s="11"/>
      <c r="J47" s="11"/>
      <c r="K47" s="11"/>
      <c r="L47" s="11"/>
      <c r="M47" s="11"/>
      <c r="P47" s="260"/>
    </row>
    <row r="48" spans="1:16" ht="38.25" hidden="1">
      <c r="F48" s="268" t="s">
        <v>256</v>
      </c>
      <c r="G48" s="269" t="s">
        <v>257</v>
      </c>
      <c r="H48" s="269" t="s">
        <v>258</v>
      </c>
      <c r="I48" s="269" t="s">
        <v>259</v>
      </c>
      <c r="J48" s="270" t="s">
        <v>260</v>
      </c>
      <c r="K48" s="269" t="s">
        <v>261</v>
      </c>
      <c r="L48" s="269" t="s">
        <v>262</v>
      </c>
      <c r="M48" s="271" t="s">
        <v>263</v>
      </c>
      <c r="N48" s="271" t="s">
        <v>264</v>
      </c>
    </row>
    <row r="49" spans="1:16" hidden="1">
      <c r="E49" s="272"/>
      <c r="F49" s="273" t="s">
        <v>265</v>
      </c>
      <c r="G49" s="273">
        <v>1</v>
      </c>
      <c r="H49" s="273">
        <v>27820086</v>
      </c>
      <c r="I49" s="273">
        <v>0</v>
      </c>
      <c r="J49" s="273">
        <v>310365</v>
      </c>
      <c r="K49" s="273">
        <v>0</v>
      </c>
      <c r="L49" s="273">
        <v>1762181100</v>
      </c>
      <c r="M49" s="273">
        <f>ROUND(L49*0.025,0)</f>
        <v>44054528</v>
      </c>
      <c r="N49" s="273">
        <v>0</v>
      </c>
    </row>
    <row r="50" spans="1:16" hidden="1">
      <c r="E50" s="272"/>
      <c r="F50" s="273" t="s">
        <v>266</v>
      </c>
      <c r="G50" s="273">
        <v>2</v>
      </c>
      <c r="H50" s="273">
        <v>72521489</v>
      </c>
      <c r="I50" s="273">
        <v>0</v>
      </c>
      <c r="J50" s="273">
        <v>1407246</v>
      </c>
      <c r="K50" s="273">
        <v>0</v>
      </c>
      <c r="L50" s="273">
        <v>4034183348</v>
      </c>
      <c r="M50" s="273">
        <f t="shared" ref="M50:M113" si="0">ROUND(L50*0.025,0)</f>
        <v>100854584</v>
      </c>
      <c r="N50" s="273">
        <v>0</v>
      </c>
    </row>
    <row r="51" spans="1:16" hidden="1">
      <c r="E51" s="272"/>
      <c r="F51" s="273" t="s">
        <v>267</v>
      </c>
      <c r="G51" s="273">
        <v>3</v>
      </c>
      <c r="H51" s="273">
        <v>14748893</v>
      </c>
      <c r="I51" s="273">
        <v>0</v>
      </c>
      <c r="J51" s="273">
        <v>232511</v>
      </c>
      <c r="K51" s="273">
        <v>0</v>
      </c>
      <c r="L51" s="273">
        <v>1062424323</v>
      </c>
      <c r="M51" s="273">
        <f t="shared" si="0"/>
        <v>26560608</v>
      </c>
      <c r="N51" s="273">
        <v>0</v>
      </c>
    </row>
    <row r="52" spans="1:16" hidden="1">
      <c r="E52" s="272"/>
      <c r="F52" s="273" t="s">
        <v>268</v>
      </c>
      <c r="G52" s="273">
        <v>4</v>
      </c>
      <c r="H52" s="273">
        <v>9812474</v>
      </c>
      <c r="I52" s="273">
        <v>22390</v>
      </c>
      <c r="J52" s="273">
        <v>145991</v>
      </c>
      <c r="K52" s="273">
        <v>0</v>
      </c>
      <c r="L52" s="273">
        <v>482882333</v>
      </c>
      <c r="M52" s="273">
        <f t="shared" si="0"/>
        <v>12072058</v>
      </c>
      <c r="N52" s="273">
        <v>0</v>
      </c>
      <c r="P52" s="11"/>
    </row>
    <row r="53" spans="1:16" hidden="1">
      <c r="A53" s="274"/>
      <c r="E53" s="272"/>
      <c r="F53" s="273" t="s">
        <v>269</v>
      </c>
      <c r="G53" s="273">
        <v>5</v>
      </c>
      <c r="H53" s="273">
        <v>63784154</v>
      </c>
      <c r="I53" s="273">
        <v>0</v>
      </c>
      <c r="J53" s="273">
        <v>550587</v>
      </c>
      <c r="K53" s="273">
        <v>0</v>
      </c>
      <c r="L53" s="273">
        <v>2807578717</v>
      </c>
      <c r="M53" s="273">
        <f t="shared" si="0"/>
        <v>70189468</v>
      </c>
      <c r="N53" s="273">
        <v>0</v>
      </c>
      <c r="P53" s="11"/>
    </row>
    <row r="54" spans="1:16" hidden="1">
      <c r="A54" s="274"/>
      <c r="E54" s="272"/>
      <c r="F54" s="273" t="s">
        <v>270</v>
      </c>
      <c r="G54" s="273">
        <v>6</v>
      </c>
      <c r="H54" s="273">
        <v>1446267</v>
      </c>
      <c r="I54" s="273">
        <v>0</v>
      </c>
      <c r="J54" s="273">
        <v>11298</v>
      </c>
      <c r="K54" s="273">
        <v>0</v>
      </c>
      <c r="L54" s="273">
        <v>273428704</v>
      </c>
      <c r="M54" s="273">
        <f t="shared" si="0"/>
        <v>6835718</v>
      </c>
      <c r="N54" s="273">
        <v>0</v>
      </c>
      <c r="P54" s="11"/>
    </row>
    <row r="55" spans="1:16" hidden="1">
      <c r="E55" s="272"/>
      <c r="F55" s="273" t="s">
        <v>271</v>
      </c>
      <c r="G55" s="273">
        <v>7</v>
      </c>
      <c r="H55" s="273">
        <v>39136754</v>
      </c>
      <c r="I55" s="273">
        <v>0</v>
      </c>
      <c r="J55" s="273">
        <v>467032</v>
      </c>
      <c r="K55" s="273">
        <v>0</v>
      </c>
      <c r="L55" s="273">
        <v>1917185149</v>
      </c>
      <c r="M55" s="273">
        <f t="shared" si="0"/>
        <v>47929629</v>
      </c>
      <c r="N55" s="273">
        <v>0</v>
      </c>
      <c r="P55" s="11"/>
    </row>
    <row r="56" spans="1:16" hidden="1">
      <c r="E56" s="272"/>
      <c r="F56" s="273" t="s">
        <v>272</v>
      </c>
      <c r="G56" s="273">
        <v>8</v>
      </c>
      <c r="H56" s="273">
        <v>44828489</v>
      </c>
      <c r="I56" s="273">
        <v>0</v>
      </c>
      <c r="J56" s="273">
        <v>624631</v>
      </c>
      <c r="K56" s="273">
        <v>0</v>
      </c>
      <c r="L56" s="273">
        <v>2200466300</v>
      </c>
      <c r="M56" s="273">
        <f t="shared" si="0"/>
        <v>55011658</v>
      </c>
      <c r="N56" s="273">
        <v>0</v>
      </c>
      <c r="P56" s="11"/>
    </row>
    <row r="57" spans="1:16" hidden="1">
      <c r="E57" s="272"/>
      <c r="F57" s="273" t="s">
        <v>273</v>
      </c>
      <c r="G57" s="273">
        <v>9</v>
      </c>
      <c r="H57" s="273">
        <v>119797140</v>
      </c>
      <c r="I57" s="273">
        <v>0</v>
      </c>
      <c r="J57" s="273">
        <v>2204083</v>
      </c>
      <c r="K57" s="273">
        <v>0</v>
      </c>
      <c r="L57" s="273">
        <v>7542476182</v>
      </c>
      <c r="M57" s="273">
        <f t="shared" si="0"/>
        <v>188561905</v>
      </c>
      <c r="N57" s="273">
        <v>0</v>
      </c>
      <c r="P57" s="11"/>
    </row>
    <row r="58" spans="1:16" hidden="1">
      <c r="A58" s="274"/>
      <c r="E58" s="272"/>
      <c r="F58" s="273" t="s">
        <v>274</v>
      </c>
      <c r="G58" s="273">
        <v>10</v>
      </c>
      <c r="H58" s="273">
        <v>98617161</v>
      </c>
      <c r="I58" s="273">
        <v>0</v>
      </c>
      <c r="J58" s="273">
        <v>1337666</v>
      </c>
      <c r="K58" s="273">
        <v>0</v>
      </c>
      <c r="L58" s="273">
        <v>8513898549</v>
      </c>
      <c r="M58" s="273">
        <f t="shared" si="0"/>
        <v>212847464</v>
      </c>
      <c r="N58" s="273">
        <v>0</v>
      </c>
      <c r="P58" s="11"/>
    </row>
    <row r="59" spans="1:16" hidden="1">
      <c r="E59" s="272"/>
      <c r="F59" s="273" t="s">
        <v>275</v>
      </c>
      <c r="G59" s="273">
        <v>11</v>
      </c>
      <c r="H59" s="273">
        <v>10410137</v>
      </c>
      <c r="I59" s="273">
        <v>0</v>
      </c>
      <c r="J59" s="273">
        <v>83916</v>
      </c>
      <c r="K59" s="273">
        <v>0</v>
      </c>
      <c r="L59" s="273">
        <v>565846177</v>
      </c>
      <c r="M59" s="273">
        <f t="shared" si="0"/>
        <v>14146154</v>
      </c>
      <c r="N59" s="273">
        <v>0</v>
      </c>
      <c r="P59" s="11"/>
    </row>
    <row r="60" spans="1:16" hidden="1">
      <c r="A60" s="274"/>
      <c r="E60" s="272"/>
      <c r="F60" s="273" t="s">
        <v>276</v>
      </c>
      <c r="G60" s="273">
        <v>12</v>
      </c>
      <c r="H60" s="273">
        <v>5263267</v>
      </c>
      <c r="I60" s="273">
        <v>0</v>
      </c>
      <c r="J60" s="273">
        <v>30908</v>
      </c>
      <c r="K60" s="273">
        <v>0</v>
      </c>
      <c r="L60" s="273">
        <v>269811112</v>
      </c>
      <c r="M60" s="273">
        <f t="shared" si="0"/>
        <v>6745278</v>
      </c>
      <c r="N60" s="273">
        <v>0</v>
      </c>
      <c r="P60" s="11"/>
    </row>
    <row r="61" spans="1:16" hidden="1">
      <c r="A61" s="275"/>
      <c r="E61" s="272"/>
      <c r="F61" s="273" t="s">
        <v>277</v>
      </c>
      <c r="G61" s="273">
        <v>13</v>
      </c>
      <c r="H61" s="273">
        <v>3371036</v>
      </c>
      <c r="I61" s="273">
        <v>0</v>
      </c>
      <c r="J61" s="273">
        <v>35890</v>
      </c>
      <c r="K61" s="273">
        <v>0</v>
      </c>
      <c r="L61" s="273">
        <v>225114616</v>
      </c>
      <c r="M61" s="273">
        <f t="shared" si="0"/>
        <v>5627865</v>
      </c>
      <c r="N61" s="273">
        <v>0</v>
      </c>
      <c r="P61" s="11"/>
    </row>
    <row r="62" spans="1:16" hidden="1">
      <c r="A62" s="274"/>
      <c r="E62" s="272"/>
      <c r="F62" s="273" t="s">
        <v>278</v>
      </c>
      <c r="G62" s="273">
        <v>14</v>
      </c>
      <c r="H62" s="273">
        <v>36554361</v>
      </c>
      <c r="I62" s="273">
        <v>0</v>
      </c>
      <c r="J62" s="273">
        <v>758989</v>
      </c>
      <c r="K62" s="273">
        <v>0</v>
      </c>
      <c r="L62" s="273">
        <v>2352225396</v>
      </c>
      <c r="M62" s="273">
        <f t="shared" si="0"/>
        <v>58805635</v>
      </c>
      <c r="N62" s="273">
        <v>0</v>
      </c>
      <c r="P62" s="11"/>
    </row>
    <row r="63" spans="1:16" hidden="1">
      <c r="E63" s="272"/>
      <c r="F63" s="273" t="s">
        <v>279</v>
      </c>
      <c r="G63" s="273">
        <v>15</v>
      </c>
      <c r="H63" s="273">
        <v>10700883</v>
      </c>
      <c r="I63" s="273">
        <v>0</v>
      </c>
      <c r="J63" s="273">
        <v>106483</v>
      </c>
      <c r="K63" s="273">
        <v>0</v>
      </c>
      <c r="L63" s="273">
        <v>624755332</v>
      </c>
      <c r="M63" s="273">
        <f t="shared" si="0"/>
        <v>15618883</v>
      </c>
      <c r="N63" s="273">
        <v>0</v>
      </c>
      <c r="P63" s="11"/>
    </row>
    <row r="64" spans="1:16" hidden="1">
      <c r="E64" s="272"/>
      <c r="F64" s="273" t="s">
        <v>280</v>
      </c>
      <c r="G64" s="273">
        <v>16</v>
      </c>
      <c r="H64" s="273">
        <v>62607068</v>
      </c>
      <c r="I64" s="273">
        <v>0</v>
      </c>
      <c r="J64" s="273">
        <v>501011</v>
      </c>
      <c r="K64" s="273">
        <v>0</v>
      </c>
      <c r="L64" s="273">
        <v>4029850773</v>
      </c>
      <c r="M64" s="273">
        <f t="shared" si="0"/>
        <v>100746269</v>
      </c>
      <c r="N64" s="273">
        <v>0</v>
      </c>
      <c r="P64" s="11"/>
    </row>
    <row r="65" spans="1:16" hidden="1">
      <c r="E65" s="272"/>
      <c r="F65" s="273" t="s">
        <v>281</v>
      </c>
      <c r="G65" s="273">
        <v>17</v>
      </c>
      <c r="H65" s="273">
        <v>37777573</v>
      </c>
      <c r="I65" s="273">
        <v>0</v>
      </c>
      <c r="J65" s="273">
        <v>864659</v>
      </c>
      <c r="K65" s="273">
        <v>0</v>
      </c>
      <c r="L65" s="273">
        <v>1931183618</v>
      </c>
      <c r="M65" s="273">
        <f t="shared" si="0"/>
        <v>48279590</v>
      </c>
      <c r="N65" s="273">
        <v>0</v>
      </c>
      <c r="P65" s="11"/>
    </row>
    <row r="66" spans="1:16" hidden="1">
      <c r="A66" s="274"/>
      <c r="E66" s="272"/>
      <c r="F66" s="273" t="s">
        <v>282</v>
      </c>
      <c r="G66" s="273">
        <v>18</v>
      </c>
      <c r="H66" s="273">
        <v>16806085</v>
      </c>
      <c r="I66" s="273">
        <v>0</v>
      </c>
      <c r="J66" s="273">
        <v>257443</v>
      </c>
      <c r="K66" s="273">
        <v>0</v>
      </c>
      <c r="L66" s="273">
        <v>763627123</v>
      </c>
      <c r="M66" s="273">
        <f t="shared" si="0"/>
        <v>19090678</v>
      </c>
      <c r="N66" s="273">
        <v>0</v>
      </c>
      <c r="P66" s="11"/>
    </row>
    <row r="67" spans="1:16" hidden="1">
      <c r="E67" s="272"/>
      <c r="F67" s="273" t="s">
        <v>283</v>
      </c>
      <c r="G67" s="273">
        <v>19</v>
      </c>
      <c r="H67" s="273">
        <v>19351784</v>
      </c>
      <c r="I67" s="273">
        <v>0</v>
      </c>
      <c r="J67" s="273">
        <v>446710</v>
      </c>
      <c r="K67" s="273">
        <v>0</v>
      </c>
      <c r="L67" s="273">
        <v>1046115680</v>
      </c>
      <c r="M67" s="273">
        <f t="shared" si="0"/>
        <v>26152892</v>
      </c>
      <c r="N67" s="273">
        <v>0</v>
      </c>
      <c r="P67" s="11"/>
    </row>
    <row r="68" spans="1:16" hidden="1">
      <c r="A68" s="275"/>
      <c r="E68" s="272"/>
      <c r="F68" s="273" t="s">
        <v>284</v>
      </c>
      <c r="G68" s="273">
        <v>20</v>
      </c>
      <c r="H68" s="273">
        <v>104892708</v>
      </c>
      <c r="I68" s="273">
        <v>0</v>
      </c>
      <c r="J68" s="273">
        <v>1130137</v>
      </c>
      <c r="K68" s="273">
        <v>0</v>
      </c>
      <c r="L68" s="273">
        <v>13142891360</v>
      </c>
      <c r="M68" s="273">
        <f t="shared" si="0"/>
        <v>328572284</v>
      </c>
      <c r="N68" s="273">
        <v>0</v>
      </c>
      <c r="P68" s="11"/>
    </row>
    <row r="69" spans="1:16" hidden="1">
      <c r="A69" s="274"/>
      <c r="E69" s="272"/>
      <c r="F69" s="273" t="s">
        <v>285</v>
      </c>
      <c r="G69" s="273">
        <v>21</v>
      </c>
      <c r="H69" s="273">
        <v>6754811</v>
      </c>
      <c r="I69" s="273">
        <v>1443</v>
      </c>
      <c r="J69" s="273">
        <v>266427</v>
      </c>
      <c r="K69" s="273">
        <v>0</v>
      </c>
      <c r="L69" s="273">
        <v>400479913</v>
      </c>
      <c r="M69" s="273">
        <f t="shared" si="0"/>
        <v>10011998</v>
      </c>
      <c r="N69" s="273">
        <v>0</v>
      </c>
      <c r="P69" s="11"/>
    </row>
    <row r="70" spans="1:16" hidden="1">
      <c r="E70" s="272"/>
      <c r="F70" s="273" t="s">
        <v>286</v>
      </c>
      <c r="G70" s="273">
        <v>22</v>
      </c>
      <c r="H70" s="273">
        <v>5238149</v>
      </c>
      <c r="I70" s="273">
        <v>0</v>
      </c>
      <c r="J70" s="273">
        <v>43437</v>
      </c>
      <c r="K70" s="273">
        <v>0</v>
      </c>
      <c r="L70" s="273">
        <v>502028856</v>
      </c>
      <c r="M70" s="273">
        <f t="shared" si="0"/>
        <v>12550721</v>
      </c>
      <c r="N70" s="273">
        <v>0</v>
      </c>
      <c r="P70" s="11"/>
    </row>
    <row r="71" spans="1:16" hidden="1">
      <c r="E71" s="272"/>
      <c r="F71" s="273" t="s">
        <v>287</v>
      </c>
      <c r="G71" s="273">
        <v>23</v>
      </c>
      <c r="H71" s="273">
        <v>56898024</v>
      </c>
      <c r="I71" s="273">
        <v>13242</v>
      </c>
      <c r="J71" s="273">
        <v>1621513</v>
      </c>
      <c r="K71" s="273">
        <v>0</v>
      </c>
      <c r="L71" s="273">
        <v>3194692927</v>
      </c>
      <c r="M71" s="273">
        <f t="shared" si="0"/>
        <v>79867323</v>
      </c>
      <c r="N71" s="273">
        <v>0</v>
      </c>
      <c r="P71" s="11"/>
    </row>
    <row r="72" spans="1:16" hidden="1">
      <c r="E72" s="272"/>
      <c r="F72" s="273" t="s">
        <v>288</v>
      </c>
      <c r="G72" s="273">
        <v>24</v>
      </c>
      <c r="H72" s="273">
        <v>23301205</v>
      </c>
      <c r="I72" s="273">
        <v>0</v>
      </c>
      <c r="J72" s="273">
        <v>343819</v>
      </c>
      <c r="K72" s="273">
        <v>0</v>
      </c>
      <c r="L72" s="273">
        <v>1369925597</v>
      </c>
      <c r="M72" s="273">
        <f t="shared" si="0"/>
        <v>34248140</v>
      </c>
      <c r="N72" s="273">
        <v>0</v>
      </c>
      <c r="P72" s="11"/>
    </row>
    <row r="73" spans="1:16" hidden="1">
      <c r="E73" s="272"/>
      <c r="F73" s="273" t="s">
        <v>289</v>
      </c>
      <c r="G73" s="273">
        <v>25</v>
      </c>
      <c r="H73" s="273">
        <v>33703797</v>
      </c>
      <c r="I73" s="273">
        <v>0</v>
      </c>
      <c r="J73" s="273">
        <v>623782</v>
      </c>
      <c r="K73" s="273">
        <v>0</v>
      </c>
      <c r="L73" s="273">
        <v>2207255751</v>
      </c>
      <c r="M73" s="273">
        <f t="shared" si="0"/>
        <v>55181394</v>
      </c>
      <c r="N73" s="273">
        <v>0</v>
      </c>
      <c r="P73" s="11"/>
    </row>
    <row r="74" spans="1:16" hidden="1">
      <c r="E74" s="272"/>
      <c r="F74" s="273" t="s">
        <v>290</v>
      </c>
      <c r="G74" s="273">
        <v>26</v>
      </c>
      <c r="H74" s="273">
        <v>72323062</v>
      </c>
      <c r="I74" s="273">
        <v>0</v>
      </c>
      <c r="J74" s="273">
        <v>614779</v>
      </c>
      <c r="K74" s="273">
        <v>4500000</v>
      </c>
      <c r="L74" s="273">
        <v>6598368011</v>
      </c>
      <c r="M74" s="273">
        <f t="shared" si="0"/>
        <v>164959200</v>
      </c>
      <c r="N74" s="273">
        <v>0</v>
      </c>
      <c r="P74" s="11"/>
    </row>
    <row r="75" spans="1:16" hidden="1">
      <c r="E75" s="272"/>
      <c r="F75" s="273" t="s">
        <v>291</v>
      </c>
      <c r="G75" s="273">
        <v>27</v>
      </c>
      <c r="H75" s="273">
        <v>8071495</v>
      </c>
      <c r="I75" s="273">
        <v>0</v>
      </c>
      <c r="J75" s="273">
        <v>74532</v>
      </c>
      <c r="K75" s="273">
        <v>0</v>
      </c>
      <c r="L75" s="273">
        <v>750634414</v>
      </c>
      <c r="M75" s="273">
        <f t="shared" si="0"/>
        <v>18765860</v>
      </c>
      <c r="N75" s="273">
        <v>0</v>
      </c>
      <c r="P75" s="11"/>
    </row>
    <row r="76" spans="1:16" hidden="1">
      <c r="E76" s="272"/>
      <c r="F76" s="273" t="s">
        <v>292</v>
      </c>
      <c r="G76" s="273">
        <v>28</v>
      </c>
      <c r="H76" s="273">
        <v>9174984</v>
      </c>
      <c r="I76" s="273">
        <v>0</v>
      </c>
      <c r="J76" s="273">
        <v>529278</v>
      </c>
      <c r="K76" s="273">
        <v>0</v>
      </c>
      <c r="L76" s="273">
        <v>558020217</v>
      </c>
      <c r="M76" s="273">
        <f t="shared" si="0"/>
        <v>13950505</v>
      </c>
      <c r="N76" s="273">
        <v>0</v>
      </c>
      <c r="P76" s="11"/>
    </row>
    <row r="77" spans="1:16" hidden="1">
      <c r="E77" s="272"/>
      <c r="F77" s="273" t="s">
        <v>293</v>
      </c>
      <c r="G77" s="273">
        <v>29</v>
      </c>
      <c r="H77" s="273">
        <v>3774155</v>
      </c>
      <c r="I77" s="273">
        <v>0</v>
      </c>
      <c r="J77" s="273">
        <v>81677</v>
      </c>
      <c r="K77" s="273">
        <v>0</v>
      </c>
      <c r="L77" s="273">
        <v>210174131</v>
      </c>
      <c r="M77" s="273">
        <f t="shared" si="0"/>
        <v>5254353</v>
      </c>
      <c r="N77" s="273">
        <v>0</v>
      </c>
      <c r="P77" s="11"/>
    </row>
    <row r="78" spans="1:16" hidden="1">
      <c r="E78" s="276"/>
      <c r="F78" s="273" t="s">
        <v>294</v>
      </c>
      <c r="G78" s="273">
        <v>30</v>
      </c>
      <c r="H78" s="273">
        <v>88212708</v>
      </c>
      <c r="I78" s="273">
        <v>0</v>
      </c>
      <c r="J78" s="273">
        <v>843008</v>
      </c>
      <c r="K78" s="273">
        <v>0</v>
      </c>
      <c r="L78" s="273">
        <v>5665455652</v>
      </c>
      <c r="M78" s="273">
        <f t="shared" si="0"/>
        <v>141636391</v>
      </c>
      <c r="N78" s="273">
        <v>0</v>
      </c>
      <c r="P78" s="11"/>
    </row>
    <row r="79" spans="1:16" hidden="1">
      <c r="E79" s="272"/>
      <c r="F79" s="273" t="s">
        <v>295</v>
      </c>
      <c r="G79" s="273">
        <v>31</v>
      </c>
      <c r="H79" s="273">
        <v>111794698</v>
      </c>
      <c r="I79" s="273">
        <v>25516</v>
      </c>
      <c r="J79" s="273">
        <v>2523591</v>
      </c>
      <c r="K79" s="273">
        <v>0</v>
      </c>
      <c r="L79" s="273">
        <v>5782739242</v>
      </c>
      <c r="M79" s="273">
        <f t="shared" si="0"/>
        <v>144568481</v>
      </c>
      <c r="N79" s="273">
        <v>0</v>
      </c>
      <c r="P79" s="11"/>
    </row>
    <row r="80" spans="1:16" hidden="1">
      <c r="E80" s="272"/>
      <c r="F80" s="273" t="s">
        <v>296</v>
      </c>
      <c r="G80" s="273">
        <v>32</v>
      </c>
      <c r="H80" s="273">
        <v>15939467</v>
      </c>
      <c r="I80" s="273">
        <v>0</v>
      </c>
      <c r="J80" s="273">
        <v>192776</v>
      </c>
      <c r="K80" s="273">
        <v>0</v>
      </c>
      <c r="L80" s="273">
        <v>852550754</v>
      </c>
      <c r="M80" s="273">
        <f t="shared" si="0"/>
        <v>21313769</v>
      </c>
      <c r="N80" s="273">
        <v>0</v>
      </c>
      <c r="P80" s="11"/>
    </row>
    <row r="81" spans="1:16" hidden="1">
      <c r="E81" s="272"/>
      <c r="F81" s="273" t="s">
        <v>297</v>
      </c>
      <c r="G81" s="273">
        <v>33</v>
      </c>
      <c r="H81" s="273">
        <v>2488177</v>
      </c>
      <c r="I81" s="273">
        <v>0</v>
      </c>
      <c r="J81" s="273">
        <v>122230</v>
      </c>
      <c r="K81" s="273">
        <v>0</v>
      </c>
      <c r="L81" s="273">
        <v>171908687</v>
      </c>
      <c r="M81" s="273">
        <f t="shared" si="0"/>
        <v>4297717</v>
      </c>
      <c r="N81" s="273">
        <v>0</v>
      </c>
      <c r="P81" s="11"/>
    </row>
    <row r="82" spans="1:16" hidden="1">
      <c r="E82" s="272"/>
      <c r="F82" s="273" t="s">
        <v>298</v>
      </c>
      <c r="G82" s="273">
        <v>34</v>
      </c>
      <c r="H82" s="273">
        <v>17641669</v>
      </c>
      <c r="I82" s="273">
        <v>0</v>
      </c>
      <c r="J82" s="273">
        <v>199299</v>
      </c>
      <c r="K82" s="273">
        <v>0</v>
      </c>
      <c r="L82" s="273">
        <v>934606956</v>
      </c>
      <c r="M82" s="273">
        <f t="shared" si="0"/>
        <v>23365174</v>
      </c>
      <c r="N82" s="273">
        <v>0</v>
      </c>
      <c r="P82" s="11"/>
    </row>
    <row r="83" spans="1:16" hidden="1">
      <c r="E83" s="272"/>
      <c r="F83" s="273" t="s">
        <v>299</v>
      </c>
      <c r="G83" s="273">
        <v>35</v>
      </c>
      <c r="H83" s="273">
        <v>1867957148</v>
      </c>
      <c r="I83" s="273">
        <v>76366</v>
      </c>
      <c r="J83" s="273">
        <v>47539508</v>
      </c>
      <c r="K83" s="273">
        <v>0</v>
      </c>
      <c r="L83" s="273">
        <v>128047080703</v>
      </c>
      <c r="M83" s="273">
        <f t="shared" si="0"/>
        <v>3201177018</v>
      </c>
      <c r="N83" s="273">
        <v>0</v>
      </c>
      <c r="P83" s="11"/>
    </row>
    <row r="84" spans="1:16" hidden="1">
      <c r="E84" s="272"/>
      <c r="F84" s="273" t="s">
        <v>300</v>
      </c>
      <c r="G84" s="273">
        <v>36</v>
      </c>
      <c r="H84" s="273">
        <v>40007800</v>
      </c>
      <c r="I84" s="273">
        <v>0</v>
      </c>
      <c r="J84" s="273">
        <v>651484</v>
      </c>
      <c r="K84" s="273">
        <v>0</v>
      </c>
      <c r="L84" s="273">
        <v>4219514210</v>
      </c>
      <c r="M84" s="273">
        <f t="shared" si="0"/>
        <v>105487855</v>
      </c>
      <c r="N84" s="273">
        <v>0</v>
      </c>
      <c r="P84" s="11"/>
    </row>
    <row r="85" spans="1:16" hidden="1">
      <c r="E85" s="272"/>
      <c r="F85" s="273" t="s">
        <v>301</v>
      </c>
      <c r="G85" s="273">
        <v>37</v>
      </c>
      <c r="H85" s="273">
        <v>17823559</v>
      </c>
      <c r="I85" s="273">
        <v>0</v>
      </c>
      <c r="J85" s="273">
        <v>199397</v>
      </c>
      <c r="K85" s="273">
        <v>0</v>
      </c>
      <c r="L85" s="273">
        <v>1018102406</v>
      </c>
      <c r="M85" s="273">
        <f t="shared" si="0"/>
        <v>25452560</v>
      </c>
      <c r="N85" s="273">
        <v>0</v>
      </c>
      <c r="P85" s="11"/>
    </row>
    <row r="86" spans="1:16" hidden="1">
      <c r="E86" s="272"/>
      <c r="F86" s="273" t="s">
        <v>302</v>
      </c>
      <c r="G86" s="273">
        <v>38</v>
      </c>
      <c r="H86" s="273">
        <v>25421100</v>
      </c>
      <c r="I86" s="273">
        <v>0</v>
      </c>
      <c r="J86" s="273">
        <v>174619</v>
      </c>
      <c r="K86" s="273">
        <v>605129</v>
      </c>
      <c r="L86" s="273">
        <v>1668617741</v>
      </c>
      <c r="M86" s="273">
        <f t="shared" si="0"/>
        <v>41715444</v>
      </c>
      <c r="N86" s="273">
        <v>0</v>
      </c>
      <c r="P86" s="11"/>
    </row>
    <row r="87" spans="1:16" hidden="1">
      <c r="E87" s="272"/>
      <c r="F87" s="273" t="s">
        <v>303</v>
      </c>
      <c r="G87" s="273">
        <v>39</v>
      </c>
      <c r="H87" s="273">
        <v>10242634</v>
      </c>
      <c r="I87" s="273">
        <v>0</v>
      </c>
      <c r="J87" s="273">
        <v>248541</v>
      </c>
      <c r="K87" s="273">
        <v>0</v>
      </c>
      <c r="L87" s="273">
        <v>648226700</v>
      </c>
      <c r="M87" s="273">
        <f t="shared" si="0"/>
        <v>16205668</v>
      </c>
      <c r="N87" s="273">
        <v>0</v>
      </c>
      <c r="P87" s="11"/>
    </row>
    <row r="88" spans="1:16" hidden="1">
      <c r="E88" s="272"/>
      <c r="F88" s="273" t="s">
        <v>304</v>
      </c>
      <c r="G88" s="273">
        <v>40</v>
      </c>
      <c r="H88" s="273">
        <v>80058826</v>
      </c>
      <c r="I88" s="273">
        <v>0</v>
      </c>
      <c r="J88" s="273">
        <v>894409</v>
      </c>
      <c r="K88" s="273">
        <v>0</v>
      </c>
      <c r="L88" s="273">
        <v>5912466560</v>
      </c>
      <c r="M88" s="273">
        <f t="shared" si="0"/>
        <v>147811664</v>
      </c>
      <c r="N88" s="273">
        <v>0</v>
      </c>
      <c r="P88" s="11"/>
    </row>
    <row r="89" spans="1:16" hidden="1">
      <c r="A89" s="275"/>
      <c r="E89" s="272"/>
      <c r="F89" s="273" t="s">
        <v>305</v>
      </c>
      <c r="G89" s="273">
        <v>41</v>
      </c>
      <c r="H89" s="273">
        <v>27622908</v>
      </c>
      <c r="I89" s="273">
        <v>0</v>
      </c>
      <c r="J89" s="273">
        <v>203642</v>
      </c>
      <c r="K89" s="273">
        <v>0</v>
      </c>
      <c r="L89" s="273">
        <v>3474653670</v>
      </c>
      <c r="M89" s="273">
        <f t="shared" si="0"/>
        <v>86866342</v>
      </c>
      <c r="N89" s="273">
        <v>0</v>
      </c>
      <c r="P89" s="11"/>
    </row>
    <row r="90" spans="1:16" hidden="1">
      <c r="A90" s="275"/>
      <c r="E90" s="272"/>
      <c r="F90" s="273" t="s">
        <v>306</v>
      </c>
      <c r="G90" s="273">
        <v>42</v>
      </c>
      <c r="H90" s="273">
        <v>35376523</v>
      </c>
      <c r="I90" s="273">
        <v>1489</v>
      </c>
      <c r="J90" s="273">
        <v>741118</v>
      </c>
      <c r="K90" s="273">
        <v>0</v>
      </c>
      <c r="L90" s="273">
        <v>2512988630</v>
      </c>
      <c r="M90" s="273">
        <f t="shared" si="0"/>
        <v>62824716</v>
      </c>
      <c r="N90" s="273">
        <v>0</v>
      </c>
      <c r="P90" s="11"/>
    </row>
    <row r="91" spans="1:16" hidden="1">
      <c r="A91" s="275"/>
      <c r="E91" s="272"/>
      <c r="F91" s="273" t="s">
        <v>307</v>
      </c>
      <c r="G91" s="273">
        <v>43</v>
      </c>
      <c r="H91" s="273">
        <v>6485219</v>
      </c>
      <c r="I91" s="273">
        <v>0</v>
      </c>
      <c r="J91" s="273">
        <v>83173</v>
      </c>
      <c r="K91" s="273">
        <v>0</v>
      </c>
      <c r="L91" s="273">
        <v>394636953</v>
      </c>
      <c r="M91" s="273">
        <f t="shared" si="0"/>
        <v>9865924</v>
      </c>
      <c r="N91" s="273">
        <v>0</v>
      </c>
      <c r="P91" s="11"/>
    </row>
    <row r="92" spans="1:16" hidden="1">
      <c r="A92" s="275"/>
      <c r="E92" s="272"/>
      <c r="F92" s="273" t="s">
        <v>308</v>
      </c>
      <c r="G92" s="273">
        <v>44</v>
      </c>
      <c r="H92" s="273">
        <v>121079995</v>
      </c>
      <c r="I92" s="273">
        <v>0</v>
      </c>
      <c r="J92" s="273">
        <v>2938439</v>
      </c>
      <c r="K92" s="273">
        <v>0</v>
      </c>
      <c r="L92" s="273">
        <v>6104303935</v>
      </c>
      <c r="M92" s="273">
        <f t="shared" si="0"/>
        <v>152607598</v>
      </c>
      <c r="N92" s="273">
        <v>0</v>
      </c>
      <c r="P92" s="11"/>
    </row>
    <row r="93" spans="1:16" hidden="1">
      <c r="A93" s="275"/>
      <c r="E93" s="272"/>
      <c r="F93" s="273" t="s">
        <v>309</v>
      </c>
      <c r="G93" s="273">
        <v>45</v>
      </c>
      <c r="H93" s="273">
        <v>4621597</v>
      </c>
      <c r="I93" s="273">
        <v>0</v>
      </c>
      <c r="J93" s="273">
        <v>55025</v>
      </c>
      <c r="K93" s="273">
        <v>0</v>
      </c>
      <c r="L93" s="273">
        <v>249070925</v>
      </c>
      <c r="M93" s="273">
        <f t="shared" si="0"/>
        <v>6226773</v>
      </c>
      <c r="N93" s="273">
        <v>0</v>
      </c>
      <c r="P93" s="11"/>
    </row>
    <row r="94" spans="1:16" hidden="1">
      <c r="A94" s="275"/>
      <c r="E94" s="272"/>
      <c r="F94" s="273" t="s">
        <v>310</v>
      </c>
      <c r="G94" s="273">
        <v>46</v>
      </c>
      <c r="H94" s="273">
        <v>181154338</v>
      </c>
      <c r="I94" s="273">
        <v>0</v>
      </c>
      <c r="J94" s="273">
        <v>2090726</v>
      </c>
      <c r="K94" s="273">
        <v>7665000</v>
      </c>
      <c r="L94" s="273">
        <v>19691528576</v>
      </c>
      <c r="M94" s="273">
        <f t="shared" si="0"/>
        <v>492288214</v>
      </c>
      <c r="N94" s="273">
        <v>0</v>
      </c>
      <c r="P94" s="11"/>
    </row>
    <row r="95" spans="1:16" hidden="1">
      <c r="A95" s="275"/>
      <c r="E95" s="272"/>
      <c r="F95" s="273" t="s">
        <v>311</v>
      </c>
      <c r="G95" s="273">
        <v>47</v>
      </c>
      <c r="H95" s="273">
        <v>3386729</v>
      </c>
      <c r="I95" s="273">
        <v>0</v>
      </c>
      <c r="J95" s="273">
        <v>50122</v>
      </c>
      <c r="K95" s="273">
        <v>0</v>
      </c>
      <c r="L95" s="273">
        <v>209913168</v>
      </c>
      <c r="M95" s="273">
        <f t="shared" si="0"/>
        <v>5247829</v>
      </c>
      <c r="N95" s="273">
        <v>0</v>
      </c>
      <c r="P95" s="11"/>
    </row>
    <row r="96" spans="1:16" hidden="1">
      <c r="A96" s="275"/>
      <c r="E96" s="272"/>
      <c r="F96" s="273" t="s">
        <v>312</v>
      </c>
      <c r="G96" s="273">
        <v>48</v>
      </c>
      <c r="H96" s="273">
        <v>99908178</v>
      </c>
      <c r="I96" s="273">
        <v>0</v>
      </c>
      <c r="J96" s="273">
        <v>3207055</v>
      </c>
      <c r="K96" s="273">
        <v>0</v>
      </c>
      <c r="L96" s="273">
        <v>5534799894</v>
      </c>
      <c r="M96" s="273">
        <f t="shared" si="0"/>
        <v>138369997</v>
      </c>
      <c r="N96" s="273">
        <v>0</v>
      </c>
      <c r="P96" s="11"/>
    </row>
    <row r="97" spans="1:16" hidden="1">
      <c r="A97" s="275"/>
      <c r="E97" s="272"/>
      <c r="F97" s="273" t="s">
        <v>313</v>
      </c>
      <c r="G97" s="273">
        <v>49</v>
      </c>
      <c r="H97" s="273">
        <v>475410995</v>
      </c>
      <c r="I97" s="273">
        <v>834074</v>
      </c>
      <c r="J97" s="273">
        <v>21321353</v>
      </c>
      <c r="K97" s="273">
        <v>0</v>
      </c>
      <c r="L97" s="273">
        <v>34680060680</v>
      </c>
      <c r="M97" s="273">
        <f t="shared" si="0"/>
        <v>867001517</v>
      </c>
      <c r="N97" s="273">
        <v>0</v>
      </c>
      <c r="P97" s="11"/>
    </row>
    <row r="98" spans="1:16" hidden="1">
      <c r="E98" s="272"/>
      <c r="F98" s="273" t="s">
        <v>314</v>
      </c>
      <c r="G98" s="273">
        <v>50</v>
      </c>
      <c r="H98" s="273">
        <v>64150473</v>
      </c>
      <c r="I98" s="273">
        <v>0</v>
      </c>
      <c r="J98" s="273">
        <v>1313045</v>
      </c>
      <c r="K98" s="273">
        <v>0</v>
      </c>
      <c r="L98" s="273">
        <v>4320712330</v>
      </c>
      <c r="M98" s="273">
        <f t="shared" si="0"/>
        <v>108017808</v>
      </c>
      <c r="N98" s="273">
        <v>0</v>
      </c>
      <c r="P98" s="11"/>
    </row>
    <row r="99" spans="1:16" hidden="1">
      <c r="E99" s="272"/>
      <c r="F99" s="273" t="s">
        <v>315</v>
      </c>
      <c r="G99" s="273">
        <v>51</v>
      </c>
      <c r="H99" s="273">
        <v>23215359</v>
      </c>
      <c r="I99" s="273">
        <v>0</v>
      </c>
      <c r="J99" s="273">
        <v>331947</v>
      </c>
      <c r="K99" s="273">
        <v>0</v>
      </c>
      <c r="L99" s="273">
        <v>1435942392</v>
      </c>
      <c r="M99" s="273">
        <f t="shared" si="0"/>
        <v>35898560</v>
      </c>
      <c r="N99" s="273">
        <v>0</v>
      </c>
      <c r="P99" s="11"/>
    </row>
    <row r="100" spans="1:16" hidden="1">
      <c r="E100" s="272"/>
      <c r="F100" s="273" t="s">
        <v>316</v>
      </c>
      <c r="G100" s="273">
        <v>52</v>
      </c>
      <c r="H100" s="273">
        <v>21085057</v>
      </c>
      <c r="I100" s="273">
        <v>0</v>
      </c>
      <c r="J100" s="273">
        <v>287247</v>
      </c>
      <c r="K100" s="273">
        <v>0</v>
      </c>
      <c r="L100" s="273">
        <v>1166878870</v>
      </c>
      <c r="M100" s="273">
        <f t="shared" si="0"/>
        <v>29171972</v>
      </c>
      <c r="N100" s="273">
        <v>0</v>
      </c>
      <c r="P100" s="11"/>
    </row>
    <row r="101" spans="1:16" hidden="1">
      <c r="E101" s="272"/>
      <c r="F101" s="273" t="s">
        <v>317</v>
      </c>
      <c r="G101" s="273">
        <v>53</v>
      </c>
      <c r="H101" s="273">
        <v>2579666</v>
      </c>
      <c r="I101" s="273">
        <v>52</v>
      </c>
      <c r="J101" s="273">
        <v>72774</v>
      </c>
      <c r="K101" s="273">
        <v>0</v>
      </c>
      <c r="L101" s="273">
        <v>129052287</v>
      </c>
      <c r="M101" s="273">
        <f t="shared" si="0"/>
        <v>3226307</v>
      </c>
      <c r="N101" s="273">
        <v>0</v>
      </c>
      <c r="P101" s="11"/>
    </row>
    <row r="102" spans="1:16" hidden="1">
      <c r="E102" s="272"/>
      <c r="F102" s="273" t="s">
        <v>318</v>
      </c>
      <c r="G102" s="273">
        <v>54</v>
      </c>
      <c r="H102" s="273">
        <v>16764566</v>
      </c>
      <c r="I102" s="273">
        <v>0</v>
      </c>
      <c r="J102" s="273">
        <v>457103</v>
      </c>
      <c r="K102" s="273">
        <v>0</v>
      </c>
      <c r="L102" s="273">
        <v>1407903300</v>
      </c>
      <c r="M102" s="273">
        <f t="shared" si="0"/>
        <v>35197583</v>
      </c>
      <c r="N102" s="273">
        <v>0</v>
      </c>
      <c r="P102" s="11"/>
    </row>
    <row r="103" spans="1:16" hidden="1">
      <c r="E103" s="272"/>
      <c r="F103" s="273" t="s">
        <v>319</v>
      </c>
      <c r="G103" s="273">
        <v>55</v>
      </c>
      <c r="H103" s="273">
        <v>25719013</v>
      </c>
      <c r="I103" s="273">
        <v>0</v>
      </c>
      <c r="J103" s="273">
        <v>301881</v>
      </c>
      <c r="K103" s="273">
        <v>0</v>
      </c>
      <c r="L103" s="273">
        <v>6203316460</v>
      </c>
      <c r="M103" s="273">
        <f t="shared" si="0"/>
        <v>155082912</v>
      </c>
      <c r="N103" s="273">
        <v>0</v>
      </c>
      <c r="P103" s="11"/>
    </row>
    <row r="104" spans="1:16" hidden="1">
      <c r="E104" s="272"/>
      <c r="F104" s="273" t="s">
        <v>320</v>
      </c>
      <c r="G104" s="273">
        <v>56</v>
      </c>
      <c r="H104" s="273">
        <v>82024358</v>
      </c>
      <c r="I104" s="273">
        <v>0</v>
      </c>
      <c r="J104" s="273">
        <v>1415237</v>
      </c>
      <c r="K104" s="273">
        <v>0</v>
      </c>
      <c r="L104" s="273">
        <v>4976053006</v>
      </c>
      <c r="M104" s="273">
        <f t="shared" si="0"/>
        <v>124401325</v>
      </c>
      <c r="N104" s="273">
        <v>0</v>
      </c>
      <c r="P104" s="11"/>
    </row>
    <row r="105" spans="1:16" hidden="1">
      <c r="E105" s="272"/>
      <c r="F105" s="273" t="s">
        <v>321</v>
      </c>
      <c r="G105" s="273">
        <v>57</v>
      </c>
      <c r="H105" s="273">
        <v>45869995</v>
      </c>
      <c r="I105" s="273">
        <v>0</v>
      </c>
      <c r="J105" s="273">
        <v>1306090</v>
      </c>
      <c r="K105" s="273">
        <v>0</v>
      </c>
      <c r="L105" s="273">
        <v>2622245420</v>
      </c>
      <c r="M105" s="273">
        <f t="shared" si="0"/>
        <v>65556136</v>
      </c>
      <c r="N105" s="273">
        <v>0</v>
      </c>
      <c r="P105" s="11"/>
    </row>
    <row r="106" spans="1:16" hidden="1">
      <c r="E106" s="272"/>
      <c r="F106" s="273" t="s">
        <v>322</v>
      </c>
      <c r="G106" s="273">
        <v>58</v>
      </c>
      <c r="H106" s="273">
        <v>3175294</v>
      </c>
      <c r="I106" s="273">
        <v>3011</v>
      </c>
      <c r="J106" s="273">
        <v>26063</v>
      </c>
      <c r="K106" s="273">
        <v>90000</v>
      </c>
      <c r="L106" s="273">
        <v>302765482</v>
      </c>
      <c r="M106" s="273">
        <f t="shared" si="0"/>
        <v>7569137</v>
      </c>
      <c r="N106" s="273">
        <v>0</v>
      </c>
      <c r="P106" s="11"/>
    </row>
    <row r="107" spans="1:16" hidden="1">
      <c r="E107" s="272"/>
      <c r="F107" s="273" t="s">
        <v>323</v>
      </c>
      <c r="G107" s="273">
        <v>59</v>
      </c>
      <c r="H107" s="273">
        <v>2394909</v>
      </c>
      <c r="I107" s="273">
        <v>0</v>
      </c>
      <c r="J107" s="273">
        <v>54030</v>
      </c>
      <c r="K107" s="273">
        <v>0</v>
      </c>
      <c r="L107" s="273">
        <v>116822944</v>
      </c>
      <c r="M107" s="273">
        <f t="shared" si="0"/>
        <v>2920574</v>
      </c>
      <c r="N107" s="273">
        <v>0</v>
      </c>
      <c r="P107" s="11"/>
    </row>
    <row r="108" spans="1:16" hidden="1">
      <c r="E108" s="272"/>
      <c r="F108" s="273" t="s">
        <v>324</v>
      </c>
      <c r="G108" s="273">
        <v>60</v>
      </c>
      <c r="H108" s="273">
        <v>2762555</v>
      </c>
      <c r="I108" s="273">
        <v>0</v>
      </c>
      <c r="J108" s="273">
        <v>25783</v>
      </c>
      <c r="K108" s="273">
        <v>0</v>
      </c>
      <c r="L108" s="273">
        <v>146144480</v>
      </c>
      <c r="M108" s="273">
        <f t="shared" si="0"/>
        <v>3653612</v>
      </c>
      <c r="N108" s="273">
        <v>0</v>
      </c>
      <c r="P108" s="11"/>
    </row>
    <row r="109" spans="1:16" hidden="1">
      <c r="E109" s="272"/>
      <c r="F109" s="273" t="s">
        <v>325</v>
      </c>
      <c r="G109" s="273">
        <v>61</v>
      </c>
      <c r="H109" s="273">
        <v>78940863</v>
      </c>
      <c r="I109" s="273">
        <v>0</v>
      </c>
      <c r="J109" s="273">
        <v>1171268</v>
      </c>
      <c r="K109" s="273">
        <v>0</v>
      </c>
      <c r="L109" s="273">
        <v>3729040780</v>
      </c>
      <c r="M109" s="273">
        <f t="shared" si="0"/>
        <v>93226020</v>
      </c>
      <c r="N109" s="273">
        <v>0</v>
      </c>
      <c r="P109" s="11"/>
    </row>
    <row r="110" spans="1:16" hidden="1">
      <c r="E110" s="272"/>
      <c r="F110" s="273" t="s">
        <v>326</v>
      </c>
      <c r="G110" s="273">
        <v>62</v>
      </c>
      <c r="H110" s="273">
        <v>7505688</v>
      </c>
      <c r="I110" s="273">
        <v>0</v>
      </c>
      <c r="J110" s="273">
        <v>87289</v>
      </c>
      <c r="K110" s="273">
        <v>0</v>
      </c>
      <c r="L110" s="273">
        <v>3126956840</v>
      </c>
      <c r="M110" s="273">
        <f t="shared" si="0"/>
        <v>78173921</v>
      </c>
      <c r="N110" s="273">
        <v>0</v>
      </c>
      <c r="P110" s="11"/>
    </row>
    <row r="111" spans="1:16" hidden="1">
      <c r="F111" s="273" t="s">
        <v>327</v>
      </c>
      <c r="G111" s="273">
        <v>63</v>
      </c>
      <c r="H111" s="273">
        <v>1680025</v>
      </c>
      <c r="I111" s="273">
        <v>0</v>
      </c>
      <c r="J111" s="273">
        <v>14323</v>
      </c>
      <c r="K111" s="273">
        <v>0</v>
      </c>
      <c r="L111" s="273">
        <v>112169420</v>
      </c>
      <c r="M111" s="273">
        <f t="shared" si="0"/>
        <v>2804236</v>
      </c>
      <c r="N111" s="273">
        <v>0</v>
      </c>
      <c r="P111" s="11"/>
    </row>
    <row r="112" spans="1:16" hidden="1">
      <c r="E112" s="272"/>
      <c r="F112" s="273" t="s">
        <v>328</v>
      </c>
      <c r="G112" s="273">
        <v>64</v>
      </c>
      <c r="H112" s="273">
        <v>19869665</v>
      </c>
      <c r="I112" s="273">
        <v>0</v>
      </c>
      <c r="J112" s="273">
        <v>399289</v>
      </c>
      <c r="K112" s="273">
        <v>1070000</v>
      </c>
      <c r="L112" s="273">
        <v>1157307120</v>
      </c>
      <c r="M112" s="273">
        <f t="shared" si="0"/>
        <v>28932678</v>
      </c>
      <c r="N112" s="273">
        <v>0</v>
      </c>
      <c r="P112" s="11"/>
    </row>
    <row r="113" spans="5:16" hidden="1">
      <c r="E113" s="272"/>
      <c r="F113" s="273" t="s">
        <v>329</v>
      </c>
      <c r="G113" s="273">
        <v>65</v>
      </c>
      <c r="H113" s="273">
        <v>31253234</v>
      </c>
      <c r="I113" s="273">
        <v>0</v>
      </c>
      <c r="J113" s="273">
        <v>521832</v>
      </c>
      <c r="K113" s="273">
        <v>0</v>
      </c>
      <c r="L113" s="273">
        <v>2675601045</v>
      </c>
      <c r="M113" s="273">
        <f t="shared" si="0"/>
        <v>66890026</v>
      </c>
      <c r="N113" s="273">
        <v>0</v>
      </c>
      <c r="P113" s="11"/>
    </row>
    <row r="114" spans="5:16" hidden="1">
      <c r="E114" s="276"/>
      <c r="F114" s="273" t="s">
        <v>330</v>
      </c>
      <c r="G114" s="273">
        <v>66</v>
      </c>
      <c r="H114" s="273">
        <v>3095132</v>
      </c>
      <c r="I114" s="273">
        <v>0</v>
      </c>
      <c r="J114" s="273">
        <v>84167</v>
      </c>
      <c r="K114" s="273">
        <v>0</v>
      </c>
      <c r="L114" s="273">
        <v>168122526</v>
      </c>
      <c r="M114" s="273">
        <f t="shared" ref="M114:M177" si="1">ROUND(L114*0.025,0)</f>
        <v>4203063</v>
      </c>
      <c r="N114" s="273">
        <v>0</v>
      </c>
      <c r="P114" s="11"/>
    </row>
    <row r="115" spans="5:16" hidden="1">
      <c r="E115" s="272"/>
      <c r="F115" s="273" t="s">
        <v>331</v>
      </c>
      <c r="G115" s="273">
        <v>67</v>
      </c>
      <c r="H115" s="273">
        <v>75539516</v>
      </c>
      <c r="I115" s="273">
        <v>0</v>
      </c>
      <c r="J115" s="273">
        <v>1284004</v>
      </c>
      <c r="K115" s="273">
        <v>0</v>
      </c>
      <c r="L115" s="273">
        <v>5841889295</v>
      </c>
      <c r="M115" s="273">
        <f t="shared" si="1"/>
        <v>146047232</v>
      </c>
      <c r="N115" s="273">
        <v>0</v>
      </c>
      <c r="P115" s="11"/>
    </row>
    <row r="116" spans="5:16" hidden="1">
      <c r="E116" s="272"/>
      <c r="F116" s="273" t="s">
        <v>332</v>
      </c>
      <c r="G116" s="273">
        <v>68</v>
      </c>
      <c r="H116" s="273">
        <v>4254689</v>
      </c>
      <c r="I116" s="273">
        <v>0</v>
      </c>
      <c r="J116" s="273">
        <v>27016</v>
      </c>
      <c r="K116" s="273">
        <v>0</v>
      </c>
      <c r="L116" s="273">
        <v>245647098</v>
      </c>
      <c r="M116" s="273">
        <f t="shared" si="1"/>
        <v>6141177</v>
      </c>
      <c r="N116" s="273">
        <v>0</v>
      </c>
      <c r="P116" s="11"/>
    </row>
    <row r="117" spans="5:16" hidden="1">
      <c r="E117" s="272"/>
      <c r="F117" s="273" t="s">
        <v>333</v>
      </c>
      <c r="G117" s="273">
        <v>69</v>
      </c>
      <c r="H117" s="273">
        <v>1684674</v>
      </c>
      <c r="I117" s="273">
        <v>0</v>
      </c>
      <c r="J117" s="273">
        <v>19552</v>
      </c>
      <c r="K117" s="273">
        <v>0</v>
      </c>
      <c r="L117" s="273">
        <v>129585795</v>
      </c>
      <c r="M117" s="273">
        <f t="shared" si="1"/>
        <v>3239645</v>
      </c>
      <c r="N117" s="273">
        <v>0</v>
      </c>
      <c r="P117" s="11"/>
    </row>
    <row r="118" spans="5:16" hidden="1">
      <c r="E118" s="272"/>
      <c r="F118" s="273" t="s">
        <v>334</v>
      </c>
      <c r="G118" s="273">
        <v>70</v>
      </c>
      <c r="H118" s="273">
        <v>10993339</v>
      </c>
      <c r="I118" s="273">
        <v>0</v>
      </c>
      <c r="J118" s="273">
        <v>61386</v>
      </c>
      <c r="K118" s="273">
        <v>0</v>
      </c>
      <c r="L118" s="273">
        <v>595474465</v>
      </c>
      <c r="M118" s="273">
        <f t="shared" si="1"/>
        <v>14886862</v>
      </c>
      <c r="N118" s="273">
        <v>0</v>
      </c>
      <c r="P118" s="11"/>
    </row>
    <row r="119" spans="5:16" hidden="1">
      <c r="E119" s="272"/>
      <c r="F119" s="273" t="s">
        <v>335</v>
      </c>
      <c r="G119" s="273">
        <v>71</v>
      </c>
      <c r="H119" s="273">
        <v>67839074</v>
      </c>
      <c r="I119" s="273">
        <v>0</v>
      </c>
      <c r="J119" s="273">
        <v>859357</v>
      </c>
      <c r="K119" s="273">
        <v>0</v>
      </c>
      <c r="L119" s="273">
        <v>4391700413</v>
      </c>
      <c r="M119" s="273">
        <f t="shared" si="1"/>
        <v>109792510</v>
      </c>
      <c r="N119" s="273">
        <v>0</v>
      </c>
      <c r="P119" s="11"/>
    </row>
    <row r="120" spans="5:16" hidden="1">
      <c r="E120" s="272"/>
      <c r="F120" s="273" t="s">
        <v>336</v>
      </c>
      <c r="G120" s="273">
        <v>72</v>
      </c>
      <c r="H120" s="273">
        <v>52724383</v>
      </c>
      <c r="I120" s="273">
        <v>0</v>
      </c>
      <c r="J120" s="273">
        <v>1379845</v>
      </c>
      <c r="K120" s="273">
        <v>0</v>
      </c>
      <c r="L120" s="273">
        <v>5225069750</v>
      </c>
      <c r="M120" s="273">
        <f t="shared" si="1"/>
        <v>130626744</v>
      </c>
      <c r="N120" s="273">
        <v>0</v>
      </c>
      <c r="P120" s="11"/>
    </row>
    <row r="121" spans="5:16" hidden="1">
      <c r="E121" s="272"/>
      <c r="F121" s="273" t="s">
        <v>337</v>
      </c>
      <c r="G121" s="273">
        <v>73</v>
      </c>
      <c r="H121" s="273">
        <v>79745732</v>
      </c>
      <c r="I121" s="273">
        <v>0</v>
      </c>
      <c r="J121" s="273">
        <v>1048913</v>
      </c>
      <c r="K121" s="273">
        <v>0</v>
      </c>
      <c r="L121" s="273">
        <v>4320175750</v>
      </c>
      <c r="M121" s="273">
        <f t="shared" si="1"/>
        <v>108004394</v>
      </c>
      <c r="N121" s="273">
        <v>0</v>
      </c>
      <c r="P121" s="11"/>
    </row>
    <row r="122" spans="5:16" hidden="1">
      <c r="E122" s="272"/>
      <c r="F122" s="273" t="s">
        <v>338</v>
      </c>
      <c r="G122" s="273">
        <v>74</v>
      </c>
      <c r="H122" s="273">
        <v>9317198</v>
      </c>
      <c r="I122" s="273">
        <v>0</v>
      </c>
      <c r="J122" s="273">
        <v>106200</v>
      </c>
      <c r="K122" s="273">
        <v>0</v>
      </c>
      <c r="L122" s="273">
        <v>659913566</v>
      </c>
      <c r="M122" s="273">
        <f t="shared" si="1"/>
        <v>16497839</v>
      </c>
      <c r="N122" s="273">
        <v>0</v>
      </c>
      <c r="P122" s="11"/>
    </row>
    <row r="123" spans="5:16" hidden="1">
      <c r="E123" s="272"/>
      <c r="F123" s="273" t="s">
        <v>339</v>
      </c>
      <c r="G123" s="273">
        <v>75</v>
      </c>
      <c r="H123" s="273">
        <v>37015714</v>
      </c>
      <c r="I123" s="273">
        <v>0</v>
      </c>
      <c r="J123" s="273">
        <v>378536</v>
      </c>
      <c r="K123" s="273">
        <v>0</v>
      </c>
      <c r="L123" s="273">
        <v>6137893050</v>
      </c>
      <c r="M123" s="273">
        <f t="shared" si="1"/>
        <v>153447326</v>
      </c>
      <c r="N123" s="273">
        <v>0</v>
      </c>
      <c r="P123" s="11"/>
    </row>
    <row r="124" spans="5:16" hidden="1">
      <c r="E124" s="276"/>
      <c r="F124" s="273" t="s">
        <v>340</v>
      </c>
      <c r="G124" s="273">
        <v>76</v>
      </c>
      <c r="H124" s="273">
        <v>14246283</v>
      </c>
      <c r="I124" s="273">
        <v>4641</v>
      </c>
      <c r="J124" s="273">
        <v>267618</v>
      </c>
      <c r="K124" s="273">
        <v>0</v>
      </c>
      <c r="L124" s="273">
        <v>856225937</v>
      </c>
      <c r="M124" s="273">
        <f t="shared" si="1"/>
        <v>21405648</v>
      </c>
      <c r="N124" s="273">
        <v>0</v>
      </c>
      <c r="P124" s="11"/>
    </row>
    <row r="125" spans="5:16" hidden="1">
      <c r="E125" s="272"/>
      <c r="F125" s="273" t="s">
        <v>341</v>
      </c>
      <c r="G125" s="273">
        <v>77</v>
      </c>
      <c r="H125" s="273">
        <v>11903389</v>
      </c>
      <c r="I125" s="273">
        <v>0</v>
      </c>
      <c r="J125" s="273">
        <v>150581</v>
      </c>
      <c r="K125" s="273">
        <v>0</v>
      </c>
      <c r="L125" s="273">
        <v>884177063</v>
      </c>
      <c r="M125" s="273">
        <f t="shared" si="1"/>
        <v>22104427</v>
      </c>
      <c r="N125" s="273">
        <v>0</v>
      </c>
      <c r="P125" s="11"/>
    </row>
    <row r="126" spans="5:16" hidden="1">
      <c r="E126" s="272"/>
      <c r="F126" s="273" t="s">
        <v>342</v>
      </c>
      <c r="G126" s="273">
        <v>78</v>
      </c>
      <c r="H126" s="273">
        <v>28190679</v>
      </c>
      <c r="I126" s="273">
        <v>0</v>
      </c>
      <c r="J126" s="273">
        <v>561571</v>
      </c>
      <c r="K126" s="273">
        <v>0</v>
      </c>
      <c r="L126" s="273">
        <v>2366676132</v>
      </c>
      <c r="M126" s="273">
        <f t="shared" si="1"/>
        <v>59166903</v>
      </c>
      <c r="N126" s="273">
        <v>0</v>
      </c>
      <c r="P126" s="11"/>
    </row>
    <row r="127" spans="5:16" hidden="1">
      <c r="E127" s="272"/>
      <c r="F127" s="273" t="s">
        <v>343</v>
      </c>
      <c r="G127" s="273">
        <v>79</v>
      </c>
      <c r="H127" s="273">
        <v>40389103</v>
      </c>
      <c r="I127" s="273">
        <v>0</v>
      </c>
      <c r="J127" s="273">
        <v>517944</v>
      </c>
      <c r="K127" s="273">
        <v>0</v>
      </c>
      <c r="L127" s="273">
        <v>3024231256</v>
      </c>
      <c r="M127" s="273">
        <f t="shared" si="1"/>
        <v>75605781</v>
      </c>
      <c r="N127" s="273">
        <v>0</v>
      </c>
      <c r="P127" s="11"/>
    </row>
    <row r="128" spans="5:16" hidden="1">
      <c r="E128" s="272"/>
      <c r="F128" s="273" t="s">
        <v>344</v>
      </c>
      <c r="G128" s="273">
        <v>80</v>
      </c>
      <c r="H128" s="273">
        <v>8724721</v>
      </c>
      <c r="I128" s="273">
        <v>0</v>
      </c>
      <c r="J128" s="273">
        <v>106440</v>
      </c>
      <c r="K128" s="273">
        <v>0</v>
      </c>
      <c r="L128" s="273">
        <v>880168520</v>
      </c>
      <c r="M128" s="273">
        <f t="shared" si="1"/>
        <v>22004213</v>
      </c>
      <c r="N128" s="273">
        <v>0</v>
      </c>
      <c r="P128" s="11"/>
    </row>
    <row r="129" spans="5:16" hidden="1">
      <c r="E129" s="276"/>
      <c r="F129" s="273" t="s">
        <v>345</v>
      </c>
      <c r="G129" s="273">
        <v>81</v>
      </c>
      <c r="H129" s="273">
        <v>7031079</v>
      </c>
      <c r="I129" s="273">
        <v>0</v>
      </c>
      <c r="J129" s="273">
        <v>90230</v>
      </c>
      <c r="K129" s="273">
        <v>0</v>
      </c>
      <c r="L129" s="273">
        <v>478410464</v>
      </c>
      <c r="M129" s="273">
        <f t="shared" si="1"/>
        <v>11960262</v>
      </c>
      <c r="N129" s="273">
        <v>0</v>
      </c>
      <c r="P129" s="11"/>
    </row>
    <row r="130" spans="5:16" hidden="1">
      <c r="E130" s="272"/>
      <c r="F130" s="273" t="s">
        <v>346</v>
      </c>
      <c r="G130" s="273">
        <v>82</v>
      </c>
      <c r="H130" s="273">
        <v>47190675</v>
      </c>
      <c r="I130" s="273">
        <v>0</v>
      </c>
      <c r="J130" s="273">
        <v>631476</v>
      </c>
      <c r="K130" s="273">
        <v>0</v>
      </c>
      <c r="L130" s="273">
        <v>3631924735</v>
      </c>
      <c r="M130" s="273">
        <f t="shared" si="1"/>
        <v>90798118</v>
      </c>
      <c r="N130" s="273">
        <v>0</v>
      </c>
      <c r="P130" s="11"/>
    </row>
    <row r="131" spans="5:16" hidden="1">
      <c r="E131" s="272"/>
      <c r="F131" s="273" t="s">
        <v>347</v>
      </c>
      <c r="G131" s="273">
        <v>83</v>
      </c>
      <c r="H131" s="273">
        <v>23768544</v>
      </c>
      <c r="I131" s="273">
        <v>118</v>
      </c>
      <c r="J131" s="273">
        <v>221733</v>
      </c>
      <c r="K131" s="273">
        <v>0</v>
      </c>
      <c r="L131" s="273">
        <v>1515180600</v>
      </c>
      <c r="M131" s="273">
        <f t="shared" si="1"/>
        <v>37879515</v>
      </c>
      <c r="N131" s="273">
        <v>0</v>
      </c>
      <c r="P131" s="11"/>
    </row>
    <row r="132" spans="5:16" hidden="1">
      <c r="E132" s="272"/>
      <c r="F132" s="273" t="s">
        <v>348</v>
      </c>
      <c r="G132" s="273">
        <v>84</v>
      </c>
      <c r="H132" s="273">
        <v>3036075</v>
      </c>
      <c r="I132" s="273">
        <v>0</v>
      </c>
      <c r="J132" s="273">
        <v>40626</v>
      </c>
      <c r="K132" s="273">
        <v>0</v>
      </c>
      <c r="L132" s="273">
        <v>198808023</v>
      </c>
      <c r="M132" s="273">
        <f t="shared" si="1"/>
        <v>4970201</v>
      </c>
      <c r="N132" s="273">
        <v>0</v>
      </c>
      <c r="P132" s="11"/>
    </row>
    <row r="133" spans="5:16" hidden="1">
      <c r="E133" s="272"/>
      <c r="F133" s="273" t="s">
        <v>349</v>
      </c>
      <c r="G133" s="273">
        <v>85</v>
      </c>
      <c r="H133" s="273">
        <v>36882128</v>
      </c>
      <c r="I133" s="273">
        <v>0</v>
      </c>
      <c r="J133" s="273">
        <v>564178</v>
      </c>
      <c r="K133" s="273">
        <v>0</v>
      </c>
      <c r="L133" s="273">
        <v>1817660272</v>
      </c>
      <c r="M133" s="273">
        <f t="shared" si="1"/>
        <v>45441507</v>
      </c>
      <c r="N133" s="273">
        <v>0</v>
      </c>
      <c r="P133" s="11"/>
    </row>
    <row r="134" spans="5:16" hidden="1">
      <c r="E134" s="276"/>
      <c r="F134" s="273" t="s">
        <v>350</v>
      </c>
      <c r="G134" s="273">
        <v>86</v>
      </c>
      <c r="H134" s="273">
        <v>17475581</v>
      </c>
      <c r="I134" s="273">
        <v>0</v>
      </c>
      <c r="J134" s="273">
        <v>100344</v>
      </c>
      <c r="K134" s="273">
        <v>850000</v>
      </c>
      <c r="L134" s="273">
        <v>2725537180</v>
      </c>
      <c r="M134" s="273">
        <f t="shared" si="1"/>
        <v>68138430</v>
      </c>
      <c r="N134" s="273">
        <v>0</v>
      </c>
      <c r="P134" s="11"/>
    </row>
    <row r="135" spans="5:16" hidden="1">
      <c r="E135" s="272"/>
      <c r="F135" s="273" t="s">
        <v>351</v>
      </c>
      <c r="G135" s="273">
        <v>87</v>
      </c>
      <c r="H135" s="273">
        <v>20127202</v>
      </c>
      <c r="I135" s="273">
        <v>0</v>
      </c>
      <c r="J135" s="273">
        <v>223878</v>
      </c>
      <c r="K135" s="273">
        <v>0</v>
      </c>
      <c r="L135" s="273">
        <v>1435539281</v>
      </c>
      <c r="M135" s="273">
        <f t="shared" si="1"/>
        <v>35888482</v>
      </c>
      <c r="N135" s="273">
        <v>0</v>
      </c>
      <c r="P135" s="11"/>
    </row>
    <row r="136" spans="5:16" hidden="1">
      <c r="E136" s="272"/>
      <c r="F136" s="273" t="s">
        <v>352</v>
      </c>
      <c r="G136" s="273">
        <v>88</v>
      </c>
      <c r="H136" s="273">
        <v>46381975</v>
      </c>
      <c r="I136" s="273">
        <v>0</v>
      </c>
      <c r="J136" s="273">
        <v>794155</v>
      </c>
      <c r="K136" s="273">
        <v>0</v>
      </c>
      <c r="L136" s="273">
        <v>3134253346</v>
      </c>
      <c r="M136" s="273">
        <f t="shared" si="1"/>
        <v>78356334</v>
      </c>
      <c r="N136" s="273">
        <v>0</v>
      </c>
      <c r="P136" s="11"/>
    </row>
    <row r="137" spans="5:16" hidden="1">
      <c r="E137" s="272"/>
      <c r="F137" s="273" t="s">
        <v>353</v>
      </c>
      <c r="G137" s="273">
        <v>89</v>
      </c>
      <c r="H137" s="273">
        <v>22726734</v>
      </c>
      <c r="I137" s="273">
        <v>6662</v>
      </c>
      <c r="J137" s="273">
        <v>368696</v>
      </c>
      <c r="K137" s="273">
        <v>0</v>
      </c>
      <c r="L137" s="273">
        <v>7276701078</v>
      </c>
      <c r="M137" s="273">
        <f t="shared" si="1"/>
        <v>181917527</v>
      </c>
      <c r="N137" s="273">
        <v>0</v>
      </c>
      <c r="P137" s="11"/>
    </row>
    <row r="138" spans="5:16" hidden="1">
      <c r="E138" s="272"/>
      <c r="F138" s="273" t="s">
        <v>354</v>
      </c>
      <c r="G138" s="273">
        <v>90</v>
      </c>
      <c r="H138" s="273">
        <v>3813002</v>
      </c>
      <c r="I138" s="273">
        <v>0</v>
      </c>
      <c r="J138" s="273">
        <v>27852</v>
      </c>
      <c r="K138" s="273">
        <v>0</v>
      </c>
      <c r="L138" s="273">
        <v>384010808</v>
      </c>
      <c r="M138" s="273">
        <f t="shared" si="1"/>
        <v>9600270</v>
      </c>
      <c r="N138" s="273">
        <v>0</v>
      </c>
      <c r="P138" s="11"/>
    </row>
    <row r="139" spans="5:16" hidden="1">
      <c r="E139" s="276"/>
      <c r="F139" s="273" t="s">
        <v>355</v>
      </c>
      <c r="G139" s="273">
        <v>91</v>
      </c>
      <c r="H139" s="273">
        <v>8760928</v>
      </c>
      <c r="I139" s="273">
        <v>0</v>
      </c>
      <c r="J139" s="273">
        <v>164617</v>
      </c>
      <c r="K139" s="273">
        <v>0</v>
      </c>
      <c r="L139" s="273">
        <v>878569578</v>
      </c>
      <c r="M139" s="273">
        <f t="shared" si="1"/>
        <v>21964239</v>
      </c>
      <c r="N139" s="273">
        <v>0</v>
      </c>
      <c r="P139" s="11"/>
    </row>
    <row r="140" spans="5:16" hidden="1">
      <c r="E140" s="272"/>
      <c r="F140" s="273" t="s">
        <v>356</v>
      </c>
      <c r="G140" s="273">
        <v>92</v>
      </c>
      <c r="H140" s="273">
        <v>10753350</v>
      </c>
      <c r="I140" s="273">
        <v>2297</v>
      </c>
      <c r="J140" s="273">
        <v>78159</v>
      </c>
      <c r="K140" s="273">
        <v>0</v>
      </c>
      <c r="L140" s="273">
        <v>765565677</v>
      </c>
      <c r="M140" s="273">
        <f t="shared" si="1"/>
        <v>19139142</v>
      </c>
      <c r="N140" s="273">
        <v>0</v>
      </c>
      <c r="P140" s="11"/>
    </row>
    <row r="141" spans="5:16" hidden="1">
      <c r="E141" s="272"/>
      <c r="F141" s="273" t="s">
        <v>357</v>
      </c>
      <c r="G141" s="273">
        <v>93</v>
      </c>
      <c r="H141" s="273">
        <v>94510401</v>
      </c>
      <c r="I141" s="273">
        <v>0</v>
      </c>
      <c r="J141" s="273">
        <v>2669645</v>
      </c>
      <c r="K141" s="273">
        <v>0</v>
      </c>
      <c r="L141" s="273">
        <v>4314767780</v>
      </c>
      <c r="M141" s="273">
        <f t="shared" si="1"/>
        <v>107869195</v>
      </c>
      <c r="N141" s="273">
        <v>0</v>
      </c>
      <c r="P141" s="11"/>
    </row>
    <row r="142" spans="5:16" hidden="1">
      <c r="E142" s="272"/>
      <c r="F142" s="273" t="s">
        <v>358</v>
      </c>
      <c r="G142" s="273">
        <v>94</v>
      </c>
      <c r="H142" s="273">
        <v>23977759</v>
      </c>
      <c r="I142" s="273">
        <v>6911</v>
      </c>
      <c r="J142" s="273">
        <v>176154</v>
      </c>
      <c r="K142" s="273">
        <v>0</v>
      </c>
      <c r="L142" s="273">
        <v>1892927321</v>
      </c>
      <c r="M142" s="273">
        <f t="shared" si="1"/>
        <v>47323183</v>
      </c>
      <c r="N142" s="273">
        <v>0</v>
      </c>
      <c r="P142" s="11"/>
    </row>
    <row r="143" spans="5:16" hidden="1">
      <c r="E143" s="272"/>
      <c r="F143" s="273" t="s">
        <v>359</v>
      </c>
      <c r="G143" s="273">
        <v>95</v>
      </c>
      <c r="H143" s="273">
        <v>86422352</v>
      </c>
      <c r="I143" s="273">
        <v>0</v>
      </c>
      <c r="J143" s="273">
        <v>1274391</v>
      </c>
      <c r="K143" s="273">
        <v>0</v>
      </c>
      <c r="L143" s="273">
        <v>5211516417</v>
      </c>
      <c r="M143" s="273">
        <f t="shared" si="1"/>
        <v>130287910</v>
      </c>
      <c r="N143" s="273">
        <v>0</v>
      </c>
      <c r="P143" s="11"/>
    </row>
    <row r="144" spans="5:16" hidden="1">
      <c r="E144" s="272"/>
      <c r="F144" s="273" t="s">
        <v>360</v>
      </c>
      <c r="G144" s="273">
        <v>96</v>
      </c>
      <c r="H144" s="273">
        <v>81395588</v>
      </c>
      <c r="I144" s="273">
        <v>0</v>
      </c>
      <c r="J144" s="273">
        <v>1007407</v>
      </c>
      <c r="K144" s="273">
        <v>0</v>
      </c>
      <c r="L144" s="273">
        <v>11194449029</v>
      </c>
      <c r="M144" s="273">
        <f t="shared" si="1"/>
        <v>279861226</v>
      </c>
      <c r="N144" s="273">
        <v>0</v>
      </c>
      <c r="P144" s="11"/>
    </row>
    <row r="145" spans="5:16" hidden="1">
      <c r="E145" s="272"/>
      <c r="F145" s="273" t="s">
        <v>361</v>
      </c>
      <c r="G145" s="273">
        <v>97</v>
      </c>
      <c r="H145" s="273">
        <v>45980026</v>
      </c>
      <c r="I145" s="273">
        <v>0</v>
      </c>
      <c r="J145" s="273">
        <v>520690</v>
      </c>
      <c r="K145" s="273">
        <v>0</v>
      </c>
      <c r="L145" s="273">
        <v>2124541595</v>
      </c>
      <c r="M145" s="273">
        <f t="shared" si="1"/>
        <v>53113540</v>
      </c>
      <c r="N145" s="273">
        <v>0</v>
      </c>
      <c r="P145" s="11"/>
    </row>
    <row r="146" spans="5:16" hidden="1">
      <c r="E146" s="272"/>
      <c r="F146" s="273" t="s">
        <v>362</v>
      </c>
      <c r="G146" s="273">
        <v>98</v>
      </c>
      <c r="H146" s="273">
        <v>2223695</v>
      </c>
      <c r="I146" s="273">
        <v>0</v>
      </c>
      <c r="J146" s="273">
        <v>10779</v>
      </c>
      <c r="K146" s="273">
        <v>0</v>
      </c>
      <c r="L146" s="273">
        <v>125126992</v>
      </c>
      <c r="M146" s="273">
        <f t="shared" si="1"/>
        <v>3128175</v>
      </c>
      <c r="N146" s="273">
        <v>0</v>
      </c>
      <c r="P146" s="11"/>
    </row>
    <row r="147" spans="5:16" hidden="1">
      <c r="E147" s="272"/>
      <c r="F147" s="273" t="s">
        <v>363</v>
      </c>
      <c r="G147" s="273">
        <v>99</v>
      </c>
      <c r="H147" s="273">
        <v>38563873</v>
      </c>
      <c r="I147" s="273">
        <v>0</v>
      </c>
      <c r="J147" s="273">
        <v>1087160</v>
      </c>
      <c r="K147" s="273">
        <v>0</v>
      </c>
      <c r="L147" s="273">
        <v>2798264830</v>
      </c>
      <c r="M147" s="273">
        <f t="shared" si="1"/>
        <v>69956621</v>
      </c>
      <c r="N147" s="273">
        <v>0</v>
      </c>
      <c r="P147" s="11"/>
    </row>
    <row r="148" spans="5:16" hidden="1">
      <c r="E148" s="272"/>
      <c r="F148" s="273" t="s">
        <v>364</v>
      </c>
      <c r="G148" s="273">
        <v>100</v>
      </c>
      <c r="H148" s="273">
        <v>178634855</v>
      </c>
      <c r="I148" s="273">
        <v>0</v>
      </c>
      <c r="J148" s="273">
        <v>2073552</v>
      </c>
      <c r="K148" s="273">
        <v>0</v>
      </c>
      <c r="L148" s="273">
        <v>7945015743</v>
      </c>
      <c r="M148" s="273">
        <f t="shared" si="1"/>
        <v>198625394</v>
      </c>
      <c r="N148" s="273">
        <v>0</v>
      </c>
      <c r="P148" s="11"/>
    </row>
    <row r="149" spans="5:16" hidden="1">
      <c r="E149" s="272"/>
      <c r="F149" s="273" t="s">
        <v>365</v>
      </c>
      <c r="G149" s="273">
        <v>101</v>
      </c>
      <c r="H149" s="273">
        <v>61855626</v>
      </c>
      <c r="I149" s="273">
        <v>0</v>
      </c>
      <c r="J149" s="273">
        <v>820004</v>
      </c>
      <c r="K149" s="273">
        <v>0</v>
      </c>
      <c r="L149" s="273">
        <v>4666897901</v>
      </c>
      <c r="M149" s="273">
        <f t="shared" si="1"/>
        <v>116672448</v>
      </c>
      <c r="N149" s="273">
        <v>0</v>
      </c>
      <c r="P149" s="11"/>
    </row>
    <row r="150" spans="5:16" hidden="1">
      <c r="E150" s="272"/>
      <c r="F150" s="273" t="s">
        <v>366</v>
      </c>
      <c r="G150" s="273">
        <v>102</v>
      </c>
      <c r="H150" s="273">
        <v>16889666</v>
      </c>
      <c r="I150" s="273">
        <v>0</v>
      </c>
      <c r="J150" s="273">
        <v>344585</v>
      </c>
      <c r="K150" s="273">
        <v>0</v>
      </c>
      <c r="L150" s="273">
        <v>1207543980</v>
      </c>
      <c r="M150" s="273">
        <f t="shared" si="1"/>
        <v>30188600</v>
      </c>
      <c r="N150" s="273">
        <v>0</v>
      </c>
      <c r="P150" s="11"/>
    </row>
    <row r="151" spans="5:16" hidden="1">
      <c r="E151" s="272"/>
      <c r="F151" s="273" t="s">
        <v>367</v>
      </c>
      <c r="G151" s="273">
        <v>103</v>
      </c>
      <c r="H151" s="273">
        <v>22612309</v>
      </c>
      <c r="I151" s="273">
        <v>0</v>
      </c>
      <c r="J151" s="273">
        <v>350826</v>
      </c>
      <c r="K151" s="273">
        <v>0</v>
      </c>
      <c r="L151" s="273">
        <v>1139021076</v>
      </c>
      <c r="M151" s="273">
        <f t="shared" si="1"/>
        <v>28475527</v>
      </c>
      <c r="N151" s="273">
        <v>0</v>
      </c>
      <c r="P151" s="11"/>
    </row>
    <row r="152" spans="5:16" hidden="1">
      <c r="E152" s="272"/>
      <c r="F152" s="273" t="s">
        <v>368</v>
      </c>
      <c r="G152" s="273">
        <v>104</v>
      </c>
      <c r="H152" s="273">
        <v>3479231</v>
      </c>
      <c r="I152" s="273">
        <v>0</v>
      </c>
      <c r="J152" s="273">
        <v>11390</v>
      </c>
      <c r="K152" s="273">
        <v>120000</v>
      </c>
      <c r="L152" s="273">
        <v>699053296</v>
      </c>
      <c r="M152" s="273">
        <f t="shared" si="1"/>
        <v>17476332</v>
      </c>
      <c r="N152" s="273">
        <v>0</v>
      </c>
      <c r="P152" s="11"/>
    </row>
    <row r="153" spans="5:16" hidden="1">
      <c r="E153" s="272"/>
      <c r="F153" s="273" t="s">
        <v>369</v>
      </c>
      <c r="G153" s="273">
        <v>105</v>
      </c>
      <c r="H153" s="273">
        <v>15961836</v>
      </c>
      <c r="I153" s="273">
        <v>0</v>
      </c>
      <c r="J153" s="273">
        <v>163978</v>
      </c>
      <c r="K153" s="273">
        <v>0</v>
      </c>
      <c r="L153" s="273">
        <v>1177518482</v>
      </c>
      <c r="M153" s="273">
        <f t="shared" si="1"/>
        <v>29437962</v>
      </c>
      <c r="N153" s="273">
        <v>0</v>
      </c>
      <c r="P153" s="11"/>
    </row>
    <row r="154" spans="5:16" hidden="1">
      <c r="E154" s="272"/>
      <c r="F154" s="273" t="s">
        <v>370</v>
      </c>
      <c r="G154" s="273">
        <v>106</v>
      </c>
      <c r="H154" s="273">
        <v>2392529</v>
      </c>
      <c r="I154" s="273">
        <v>0</v>
      </c>
      <c r="J154" s="273">
        <v>60943</v>
      </c>
      <c r="K154" s="273">
        <v>0</v>
      </c>
      <c r="L154" s="273">
        <v>147336608</v>
      </c>
      <c r="M154" s="273">
        <f t="shared" si="1"/>
        <v>3683415</v>
      </c>
      <c r="N154" s="273">
        <v>0</v>
      </c>
      <c r="P154" s="11"/>
    </row>
    <row r="155" spans="5:16" hidden="1">
      <c r="E155" s="272"/>
      <c r="F155" s="273" t="s">
        <v>371</v>
      </c>
      <c r="G155" s="273">
        <v>107</v>
      </c>
      <c r="H155" s="273">
        <v>67991888</v>
      </c>
      <c r="I155" s="273">
        <v>0</v>
      </c>
      <c r="J155" s="273">
        <v>1034715</v>
      </c>
      <c r="K155" s="273">
        <v>0</v>
      </c>
      <c r="L155" s="273">
        <v>5536759220</v>
      </c>
      <c r="M155" s="273">
        <f t="shared" si="1"/>
        <v>138418981</v>
      </c>
      <c r="N155" s="273">
        <v>0</v>
      </c>
      <c r="P155" s="11"/>
    </row>
    <row r="156" spans="5:16" hidden="1">
      <c r="E156" s="272"/>
      <c r="F156" s="273" t="s">
        <v>372</v>
      </c>
      <c r="G156" s="273">
        <v>108</v>
      </c>
      <c r="H156" s="273">
        <v>2041414</v>
      </c>
      <c r="I156" s="273">
        <v>0</v>
      </c>
      <c r="J156" s="273">
        <v>12421</v>
      </c>
      <c r="K156" s="273">
        <v>0</v>
      </c>
      <c r="L156" s="273">
        <v>140225585</v>
      </c>
      <c r="M156" s="273">
        <f t="shared" si="1"/>
        <v>3505640</v>
      </c>
      <c r="N156" s="273">
        <v>0</v>
      </c>
      <c r="P156" s="11"/>
    </row>
    <row r="157" spans="5:16" hidden="1">
      <c r="E157" s="272"/>
      <c r="F157" s="273" t="s">
        <v>373</v>
      </c>
      <c r="G157" s="273">
        <v>109</v>
      </c>
      <c r="H157" s="273">
        <v>646502</v>
      </c>
      <c r="I157" s="273">
        <v>0</v>
      </c>
      <c r="J157" s="273">
        <v>446</v>
      </c>
      <c r="K157" s="273">
        <v>0</v>
      </c>
      <c r="L157" s="273">
        <v>232333901</v>
      </c>
      <c r="M157" s="273">
        <f t="shared" si="1"/>
        <v>5808348</v>
      </c>
      <c r="N157" s="273">
        <v>0</v>
      </c>
      <c r="P157" s="11"/>
    </row>
    <row r="158" spans="5:16" hidden="1">
      <c r="E158" s="272"/>
      <c r="F158" s="273" t="s">
        <v>374</v>
      </c>
      <c r="G158" s="273">
        <v>110</v>
      </c>
      <c r="H158" s="273">
        <v>31834675</v>
      </c>
      <c r="I158" s="273">
        <v>2500</v>
      </c>
      <c r="J158" s="273">
        <v>420911</v>
      </c>
      <c r="K158" s="273">
        <v>0</v>
      </c>
      <c r="L158" s="273">
        <v>2192504829</v>
      </c>
      <c r="M158" s="273">
        <f t="shared" si="1"/>
        <v>54812621</v>
      </c>
      <c r="N158" s="273">
        <v>0</v>
      </c>
      <c r="P158" s="11"/>
    </row>
    <row r="159" spans="5:16" hidden="1">
      <c r="E159" s="272"/>
      <c r="F159" s="273" t="s">
        <v>375</v>
      </c>
      <c r="G159" s="273">
        <v>111</v>
      </c>
      <c r="H159" s="273">
        <v>10415071</v>
      </c>
      <c r="I159" s="273">
        <v>0</v>
      </c>
      <c r="J159" s="273">
        <v>125920</v>
      </c>
      <c r="K159" s="273">
        <v>0</v>
      </c>
      <c r="L159" s="273">
        <v>572170573</v>
      </c>
      <c r="M159" s="273">
        <f t="shared" si="1"/>
        <v>14304264</v>
      </c>
      <c r="N159" s="273">
        <v>0</v>
      </c>
      <c r="P159" s="11"/>
    </row>
    <row r="160" spans="5:16" hidden="1">
      <c r="E160" s="272"/>
      <c r="F160" s="273" t="s">
        <v>376</v>
      </c>
      <c r="G160" s="273">
        <v>112</v>
      </c>
      <c r="H160" s="273">
        <v>2855584</v>
      </c>
      <c r="I160" s="273">
        <v>0</v>
      </c>
      <c r="J160" s="273">
        <v>31256</v>
      </c>
      <c r="K160" s="273">
        <v>0</v>
      </c>
      <c r="L160" s="273">
        <v>191680730</v>
      </c>
      <c r="M160" s="273">
        <f t="shared" si="1"/>
        <v>4792018</v>
      </c>
      <c r="N160" s="273">
        <v>0</v>
      </c>
      <c r="P160" s="11"/>
    </row>
    <row r="161" spans="5:16" hidden="1">
      <c r="E161" s="272"/>
      <c r="F161" s="273" t="s">
        <v>377</v>
      </c>
      <c r="G161" s="273">
        <v>113</v>
      </c>
      <c r="H161" s="273">
        <v>19125974</v>
      </c>
      <c r="I161" s="273">
        <v>0</v>
      </c>
      <c r="J161" s="273">
        <v>243507</v>
      </c>
      <c r="K161" s="273">
        <v>0</v>
      </c>
      <c r="L161" s="273">
        <v>1386204580</v>
      </c>
      <c r="M161" s="273">
        <f t="shared" si="1"/>
        <v>34655115</v>
      </c>
      <c r="N161" s="273">
        <v>0</v>
      </c>
      <c r="P161" s="11"/>
    </row>
    <row r="162" spans="5:16" hidden="1">
      <c r="E162" s="272"/>
      <c r="F162" s="273" t="s">
        <v>378</v>
      </c>
      <c r="G162" s="273">
        <v>114</v>
      </c>
      <c r="H162" s="273">
        <v>29088817</v>
      </c>
      <c r="I162" s="273">
        <v>0</v>
      </c>
      <c r="J162" s="273">
        <v>403026</v>
      </c>
      <c r="K162" s="273">
        <v>0</v>
      </c>
      <c r="L162" s="273">
        <v>1363519928</v>
      </c>
      <c r="M162" s="273">
        <f t="shared" si="1"/>
        <v>34087998</v>
      </c>
      <c r="N162" s="273">
        <v>0</v>
      </c>
      <c r="P162" s="11"/>
    </row>
    <row r="163" spans="5:16" hidden="1">
      <c r="E163" s="272"/>
      <c r="F163" s="273" t="s">
        <v>379</v>
      </c>
      <c r="G163" s="273">
        <v>115</v>
      </c>
      <c r="H163" s="273">
        <v>26002556</v>
      </c>
      <c r="I163" s="273">
        <v>0</v>
      </c>
      <c r="J163" s="273">
        <v>377018</v>
      </c>
      <c r="K163" s="273">
        <v>0</v>
      </c>
      <c r="L163" s="273">
        <v>1547028448</v>
      </c>
      <c r="M163" s="273">
        <f t="shared" si="1"/>
        <v>38675711</v>
      </c>
      <c r="N163" s="273">
        <v>0</v>
      </c>
      <c r="P163" s="11"/>
    </row>
    <row r="164" spans="5:16" hidden="1">
      <c r="E164" s="276"/>
      <c r="F164" s="273" t="s">
        <v>380</v>
      </c>
      <c r="G164" s="273">
        <v>116</v>
      </c>
      <c r="H164" s="273">
        <v>12079352</v>
      </c>
      <c r="I164" s="273">
        <v>0</v>
      </c>
      <c r="J164" s="273">
        <v>116714</v>
      </c>
      <c r="K164" s="273">
        <v>0</v>
      </c>
      <c r="L164" s="273">
        <v>867329081</v>
      </c>
      <c r="M164" s="273">
        <f t="shared" si="1"/>
        <v>21683227</v>
      </c>
      <c r="N164" s="273">
        <v>0</v>
      </c>
      <c r="P164" s="11"/>
    </row>
    <row r="165" spans="5:16" hidden="1">
      <c r="E165" s="272"/>
      <c r="F165" s="273" t="s">
        <v>381</v>
      </c>
      <c r="G165" s="273">
        <v>117</v>
      </c>
      <c r="H165" s="273">
        <v>9359333</v>
      </c>
      <c r="I165" s="273">
        <v>0</v>
      </c>
      <c r="J165" s="273">
        <v>125305</v>
      </c>
      <c r="K165" s="273">
        <v>0</v>
      </c>
      <c r="L165" s="273">
        <v>935709078</v>
      </c>
      <c r="M165" s="273">
        <f t="shared" si="1"/>
        <v>23392727</v>
      </c>
      <c r="N165" s="273">
        <v>0</v>
      </c>
      <c r="P165" s="11"/>
    </row>
    <row r="166" spans="5:16" hidden="1">
      <c r="E166" s="272"/>
      <c r="F166" s="273" t="s">
        <v>382</v>
      </c>
      <c r="G166" s="273">
        <v>118</v>
      </c>
      <c r="H166" s="273">
        <v>13870030</v>
      </c>
      <c r="I166" s="273">
        <v>0</v>
      </c>
      <c r="J166" s="273">
        <v>207863</v>
      </c>
      <c r="K166" s="273">
        <v>0</v>
      </c>
      <c r="L166" s="273">
        <v>775981560</v>
      </c>
      <c r="M166" s="273">
        <f t="shared" si="1"/>
        <v>19399539</v>
      </c>
      <c r="N166" s="273">
        <v>0</v>
      </c>
      <c r="P166" s="11"/>
    </row>
    <row r="167" spans="5:16" hidden="1">
      <c r="E167" s="272"/>
      <c r="F167" s="273" t="s">
        <v>383</v>
      </c>
      <c r="G167" s="273">
        <v>119</v>
      </c>
      <c r="H167" s="273">
        <v>24406116</v>
      </c>
      <c r="I167" s="273">
        <v>0</v>
      </c>
      <c r="J167" s="273">
        <v>245257</v>
      </c>
      <c r="K167" s="273">
        <v>0</v>
      </c>
      <c r="L167" s="273">
        <v>1434911406</v>
      </c>
      <c r="M167" s="273">
        <f t="shared" si="1"/>
        <v>35872785</v>
      </c>
      <c r="N167" s="273">
        <v>0</v>
      </c>
      <c r="P167" s="11"/>
    </row>
    <row r="168" spans="5:16" hidden="1">
      <c r="E168" s="272"/>
      <c r="F168" s="273" t="s">
        <v>384</v>
      </c>
      <c r="G168" s="273">
        <v>120</v>
      </c>
      <c r="H168" s="273">
        <v>9719362</v>
      </c>
      <c r="I168" s="273">
        <v>0</v>
      </c>
      <c r="J168" s="273">
        <v>456147</v>
      </c>
      <c r="K168" s="273">
        <v>0</v>
      </c>
      <c r="L168" s="273">
        <v>569448260</v>
      </c>
      <c r="M168" s="273">
        <f t="shared" si="1"/>
        <v>14236207</v>
      </c>
      <c r="N168" s="273">
        <v>0</v>
      </c>
      <c r="P168" s="11"/>
    </row>
    <row r="169" spans="5:16" hidden="1">
      <c r="E169" s="272"/>
      <c r="F169" s="273" t="s">
        <v>385</v>
      </c>
      <c r="G169" s="273">
        <v>121</v>
      </c>
      <c r="H169" s="273">
        <v>2056537</v>
      </c>
      <c r="I169" s="273">
        <v>0</v>
      </c>
      <c r="J169" s="273">
        <v>9850</v>
      </c>
      <c r="K169" s="273">
        <v>0</v>
      </c>
      <c r="L169" s="273">
        <v>298369678</v>
      </c>
      <c r="M169" s="273">
        <f t="shared" si="1"/>
        <v>7459242</v>
      </c>
      <c r="N169" s="273">
        <v>0</v>
      </c>
      <c r="P169" s="11"/>
    </row>
    <row r="170" spans="5:16" hidden="1">
      <c r="E170" s="272"/>
      <c r="F170" s="273" t="s">
        <v>386</v>
      </c>
      <c r="G170" s="273">
        <v>122</v>
      </c>
      <c r="H170" s="273">
        <v>35747973</v>
      </c>
      <c r="I170" s="273">
        <v>0</v>
      </c>
      <c r="J170" s="273">
        <v>339189</v>
      </c>
      <c r="K170" s="273">
        <v>0</v>
      </c>
      <c r="L170" s="273">
        <v>2436970000</v>
      </c>
      <c r="M170" s="273">
        <f t="shared" si="1"/>
        <v>60924250</v>
      </c>
      <c r="N170" s="273">
        <v>0</v>
      </c>
      <c r="P170" s="11"/>
    </row>
    <row r="171" spans="5:16" hidden="1">
      <c r="E171" s="272"/>
      <c r="F171" s="273" t="s">
        <v>387</v>
      </c>
      <c r="G171" s="273">
        <v>123</v>
      </c>
      <c r="H171" s="273">
        <v>16689322</v>
      </c>
      <c r="I171" s="273">
        <v>0</v>
      </c>
      <c r="J171" s="273">
        <v>373841</v>
      </c>
      <c r="K171" s="273">
        <v>0</v>
      </c>
      <c r="L171" s="273">
        <v>1140843150</v>
      </c>
      <c r="M171" s="273">
        <f t="shared" si="1"/>
        <v>28521079</v>
      </c>
      <c r="N171" s="273">
        <v>0</v>
      </c>
      <c r="P171" s="11"/>
    </row>
    <row r="172" spans="5:16" hidden="1">
      <c r="E172" s="272"/>
      <c r="F172" s="273" t="s">
        <v>388</v>
      </c>
      <c r="G172" s="273">
        <v>124</v>
      </c>
      <c r="H172" s="273">
        <v>3439606</v>
      </c>
      <c r="I172" s="273">
        <v>0</v>
      </c>
      <c r="J172" s="273">
        <v>44024</v>
      </c>
      <c r="K172" s="273">
        <v>0</v>
      </c>
      <c r="L172" s="273">
        <v>226213700</v>
      </c>
      <c r="M172" s="273">
        <f t="shared" si="1"/>
        <v>5655343</v>
      </c>
      <c r="N172" s="273">
        <v>0</v>
      </c>
      <c r="P172" s="11"/>
    </row>
    <row r="173" spans="5:16" hidden="1">
      <c r="E173" s="272"/>
      <c r="F173" s="273" t="s">
        <v>389</v>
      </c>
      <c r="G173" s="273">
        <v>125</v>
      </c>
      <c r="H173" s="273">
        <v>17784982</v>
      </c>
      <c r="I173" s="273">
        <v>0</v>
      </c>
      <c r="J173" s="273">
        <v>159451</v>
      </c>
      <c r="K173" s="273">
        <v>0</v>
      </c>
      <c r="L173" s="273">
        <v>1081403326</v>
      </c>
      <c r="M173" s="273">
        <f t="shared" si="1"/>
        <v>27035083</v>
      </c>
      <c r="N173" s="273">
        <v>0</v>
      </c>
      <c r="P173" s="11"/>
    </row>
    <row r="174" spans="5:16" hidden="1">
      <c r="E174" s="276"/>
      <c r="F174" s="273" t="s">
        <v>390</v>
      </c>
      <c r="G174" s="273">
        <v>126</v>
      </c>
      <c r="H174" s="273">
        <v>38520623</v>
      </c>
      <c r="I174" s="273">
        <v>0</v>
      </c>
      <c r="J174" s="273">
        <v>466639</v>
      </c>
      <c r="K174" s="273">
        <v>0</v>
      </c>
      <c r="L174" s="273">
        <v>4814009800</v>
      </c>
      <c r="M174" s="273">
        <f t="shared" si="1"/>
        <v>120350245</v>
      </c>
      <c r="N174" s="273">
        <v>0</v>
      </c>
      <c r="P174" s="11"/>
    </row>
    <row r="175" spans="5:16" hidden="1">
      <c r="E175" s="272"/>
      <c r="F175" s="273" t="s">
        <v>391</v>
      </c>
      <c r="G175" s="273">
        <v>127</v>
      </c>
      <c r="H175" s="273">
        <v>6346989</v>
      </c>
      <c r="I175" s="273">
        <v>0</v>
      </c>
      <c r="J175" s="273">
        <v>63195</v>
      </c>
      <c r="K175" s="273">
        <v>0</v>
      </c>
      <c r="L175" s="273">
        <v>523957693</v>
      </c>
      <c r="M175" s="273">
        <f t="shared" si="1"/>
        <v>13098942</v>
      </c>
      <c r="N175" s="273">
        <v>0</v>
      </c>
      <c r="P175" s="11"/>
    </row>
    <row r="176" spans="5:16" hidden="1">
      <c r="E176" s="272"/>
      <c r="F176" s="273" t="s">
        <v>392</v>
      </c>
      <c r="G176" s="273">
        <v>128</v>
      </c>
      <c r="H176" s="273">
        <v>90829283</v>
      </c>
      <c r="I176" s="273">
        <v>0</v>
      </c>
      <c r="J176" s="273">
        <v>1094084</v>
      </c>
      <c r="K176" s="273">
        <v>0</v>
      </c>
      <c r="L176" s="273">
        <v>5432039234</v>
      </c>
      <c r="M176" s="273">
        <f t="shared" si="1"/>
        <v>135800981</v>
      </c>
      <c r="N176" s="273">
        <v>0</v>
      </c>
      <c r="P176" s="11"/>
    </row>
    <row r="177" spans="5:16" hidden="1">
      <c r="E177" s="272"/>
      <c r="F177" s="273" t="s">
        <v>393</v>
      </c>
      <c r="G177" s="273">
        <v>129</v>
      </c>
      <c r="H177" s="273">
        <v>787923</v>
      </c>
      <c r="I177" s="273">
        <v>0</v>
      </c>
      <c r="J177" s="273">
        <v>13037</v>
      </c>
      <c r="K177" s="273">
        <v>0</v>
      </c>
      <c r="L177" s="273">
        <v>51329324</v>
      </c>
      <c r="M177" s="273">
        <f t="shared" si="1"/>
        <v>1283233</v>
      </c>
      <c r="N177" s="273">
        <v>0</v>
      </c>
      <c r="P177" s="11"/>
    </row>
    <row r="178" spans="5:16" hidden="1">
      <c r="E178" s="272"/>
      <c r="F178" s="273" t="s">
        <v>394</v>
      </c>
      <c r="G178" s="273">
        <v>130</v>
      </c>
      <c r="H178" s="273">
        <v>2083699</v>
      </c>
      <c r="I178" s="273">
        <v>0</v>
      </c>
      <c r="J178" s="273">
        <v>51965</v>
      </c>
      <c r="K178" s="273">
        <v>0</v>
      </c>
      <c r="L178" s="273">
        <v>90518950</v>
      </c>
      <c r="M178" s="273">
        <f t="shared" ref="M178:M241" si="2">ROUND(L178*0.025,0)</f>
        <v>2262974</v>
      </c>
      <c r="N178" s="273">
        <v>0</v>
      </c>
      <c r="P178" s="11"/>
    </row>
    <row r="179" spans="5:16" hidden="1">
      <c r="E179" s="276"/>
      <c r="F179" s="273" t="s">
        <v>395</v>
      </c>
      <c r="G179" s="273">
        <v>131</v>
      </c>
      <c r="H179" s="273">
        <v>68840392</v>
      </c>
      <c r="I179" s="273">
        <v>0</v>
      </c>
      <c r="J179" s="273">
        <v>1178494</v>
      </c>
      <c r="K179" s="273">
        <v>0</v>
      </c>
      <c r="L179" s="273">
        <v>6175354200</v>
      </c>
      <c r="M179" s="273">
        <f t="shared" si="2"/>
        <v>154383855</v>
      </c>
      <c r="N179" s="273">
        <v>0</v>
      </c>
      <c r="P179" s="11"/>
    </row>
    <row r="180" spans="5:16" hidden="1">
      <c r="E180" s="272"/>
      <c r="F180" s="273" t="s">
        <v>396</v>
      </c>
      <c r="G180" s="273">
        <v>132</v>
      </c>
      <c r="H180" s="273">
        <v>4136791</v>
      </c>
      <c r="I180" s="273">
        <v>0</v>
      </c>
      <c r="J180" s="273">
        <v>37059</v>
      </c>
      <c r="K180" s="273">
        <v>0</v>
      </c>
      <c r="L180" s="273">
        <v>295023940</v>
      </c>
      <c r="M180" s="273">
        <f t="shared" si="2"/>
        <v>7375599</v>
      </c>
      <c r="N180" s="273">
        <v>0</v>
      </c>
      <c r="P180" s="11"/>
    </row>
    <row r="181" spans="5:16" hidden="1">
      <c r="E181" s="272"/>
      <c r="F181" s="273" t="s">
        <v>397</v>
      </c>
      <c r="G181" s="273">
        <v>133</v>
      </c>
      <c r="H181" s="273">
        <v>21102435</v>
      </c>
      <c r="I181" s="273">
        <v>1926</v>
      </c>
      <c r="J181" s="273">
        <v>219779</v>
      </c>
      <c r="K181" s="273">
        <v>0</v>
      </c>
      <c r="L181" s="273">
        <v>1087078754</v>
      </c>
      <c r="M181" s="273">
        <f t="shared" si="2"/>
        <v>27176969</v>
      </c>
      <c r="N181" s="273">
        <v>0</v>
      </c>
      <c r="P181" s="11"/>
    </row>
    <row r="182" spans="5:16" hidden="1">
      <c r="E182" s="272"/>
      <c r="F182" s="273" t="s">
        <v>398</v>
      </c>
      <c r="G182" s="273">
        <v>134</v>
      </c>
      <c r="H182" s="273">
        <v>31677475</v>
      </c>
      <c r="I182" s="273">
        <v>0</v>
      </c>
      <c r="J182" s="273">
        <v>788910</v>
      </c>
      <c r="K182" s="273">
        <v>0</v>
      </c>
      <c r="L182" s="273">
        <v>1976440200</v>
      </c>
      <c r="M182" s="273">
        <f t="shared" si="2"/>
        <v>49411005</v>
      </c>
      <c r="N182" s="273">
        <v>0</v>
      </c>
      <c r="P182" s="11"/>
    </row>
    <row r="183" spans="5:16" hidden="1">
      <c r="E183" s="272"/>
      <c r="F183" s="273" t="s">
        <v>399</v>
      </c>
      <c r="G183" s="273">
        <v>135</v>
      </c>
      <c r="H183" s="273">
        <v>4859172</v>
      </c>
      <c r="I183" s="273">
        <v>634</v>
      </c>
      <c r="J183" s="273">
        <v>62031</v>
      </c>
      <c r="K183" s="273">
        <v>0</v>
      </c>
      <c r="L183" s="273">
        <v>314119684</v>
      </c>
      <c r="M183" s="273">
        <f t="shared" si="2"/>
        <v>7852992</v>
      </c>
      <c r="N183" s="273">
        <v>0</v>
      </c>
      <c r="P183" s="11"/>
    </row>
    <row r="184" spans="5:16" hidden="1">
      <c r="E184" s="272"/>
      <c r="F184" s="273" t="s">
        <v>400</v>
      </c>
      <c r="G184" s="273">
        <v>136</v>
      </c>
      <c r="H184" s="273">
        <v>38290200</v>
      </c>
      <c r="I184" s="273">
        <v>10852</v>
      </c>
      <c r="J184" s="273">
        <v>850223</v>
      </c>
      <c r="K184" s="273">
        <v>0</v>
      </c>
      <c r="L184" s="273">
        <v>2275395000</v>
      </c>
      <c r="M184" s="273">
        <f t="shared" si="2"/>
        <v>56884875</v>
      </c>
      <c r="N184" s="273">
        <v>0</v>
      </c>
      <c r="P184" s="11"/>
    </row>
    <row r="185" spans="5:16" hidden="1">
      <c r="E185" s="272"/>
      <c r="F185" s="273" t="s">
        <v>401</v>
      </c>
      <c r="G185" s="273">
        <v>137</v>
      </c>
      <c r="H185" s="273">
        <v>51236193</v>
      </c>
      <c r="I185" s="273">
        <v>0</v>
      </c>
      <c r="J185" s="273">
        <v>420504</v>
      </c>
      <c r="K185" s="273">
        <v>0</v>
      </c>
      <c r="L185" s="273">
        <v>2056918444</v>
      </c>
      <c r="M185" s="273">
        <f t="shared" si="2"/>
        <v>51422961</v>
      </c>
      <c r="N185" s="273">
        <v>0</v>
      </c>
      <c r="P185" s="11"/>
    </row>
    <row r="186" spans="5:16" hidden="1">
      <c r="E186" s="272"/>
      <c r="F186" s="273" t="s">
        <v>402</v>
      </c>
      <c r="G186" s="273">
        <v>138</v>
      </c>
      <c r="H186" s="273">
        <v>12375923</v>
      </c>
      <c r="I186" s="273">
        <v>0</v>
      </c>
      <c r="J186" s="273">
        <v>117469</v>
      </c>
      <c r="K186" s="273">
        <v>0</v>
      </c>
      <c r="L186" s="273">
        <v>674669556</v>
      </c>
      <c r="M186" s="273">
        <f t="shared" si="2"/>
        <v>16866739</v>
      </c>
      <c r="N186" s="273">
        <v>0</v>
      </c>
      <c r="P186" s="11"/>
    </row>
    <row r="187" spans="5:16" hidden="1">
      <c r="E187" s="272"/>
      <c r="F187" s="273" t="s">
        <v>403</v>
      </c>
      <c r="G187" s="273">
        <v>139</v>
      </c>
      <c r="H187" s="273">
        <v>51588956</v>
      </c>
      <c r="I187" s="273">
        <v>0</v>
      </c>
      <c r="J187" s="273">
        <v>1542143</v>
      </c>
      <c r="K187" s="273">
        <v>0</v>
      </c>
      <c r="L187" s="273">
        <v>3249773804</v>
      </c>
      <c r="M187" s="273">
        <f t="shared" si="2"/>
        <v>81244345</v>
      </c>
      <c r="N187" s="273">
        <v>0</v>
      </c>
      <c r="P187" s="11"/>
    </row>
    <row r="188" spans="5:16" hidden="1">
      <c r="E188" s="272"/>
      <c r="F188" s="273" t="s">
        <v>404</v>
      </c>
      <c r="G188" s="273">
        <v>140</v>
      </c>
      <c r="H188" s="273">
        <v>6026187</v>
      </c>
      <c r="I188" s="273">
        <v>0</v>
      </c>
      <c r="J188" s="273">
        <v>90176</v>
      </c>
      <c r="K188" s="273">
        <v>0</v>
      </c>
      <c r="L188" s="273">
        <v>395563065</v>
      </c>
      <c r="M188" s="273">
        <f t="shared" si="2"/>
        <v>9889077</v>
      </c>
      <c r="N188" s="273">
        <v>0</v>
      </c>
      <c r="P188" s="11"/>
    </row>
    <row r="189" spans="5:16" hidden="1">
      <c r="E189" s="272"/>
      <c r="F189" s="273" t="s">
        <v>405</v>
      </c>
      <c r="G189" s="273">
        <v>141</v>
      </c>
      <c r="H189" s="273">
        <v>41955423</v>
      </c>
      <c r="I189" s="273">
        <v>0</v>
      </c>
      <c r="J189" s="273">
        <v>749255</v>
      </c>
      <c r="K189" s="273">
        <v>0</v>
      </c>
      <c r="L189" s="273">
        <v>2287457300</v>
      </c>
      <c r="M189" s="273">
        <f t="shared" si="2"/>
        <v>57186433</v>
      </c>
      <c r="N189" s="273">
        <v>0</v>
      </c>
      <c r="P189" s="11"/>
    </row>
    <row r="190" spans="5:16" hidden="1">
      <c r="E190" s="272"/>
      <c r="F190" s="273" t="s">
        <v>406</v>
      </c>
      <c r="G190" s="273">
        <v>142</v>
      </c>
      <c r="H190" s="273">
        <v>25520418</v>
      </c>
      <c r="I190" s="273">
        <v>0</v>
      </c>
      <c r="J190" s="273">
        <v>127795</v>
      </c>
      <c r="K190" s="273">
        <v>0</v>
      </c>
      <c r="L190" s="273">
        <v>1983413510</v>
      </c>
      <c r="M190" s="273">
        <f t="shared" si="2"/>
        <v>49585338</v>
      </c>
      <c r="N190" s="273">
        <v>0</v>
      </c>
      <c r="P190" s="11"/>
    </row>
    <row r="191" spans="5:16" hidden="1">
      <c r="E191" s="272"/>
      <c r="F191" s="273" t="s">
        <v>407</v>
      </c>
      <c r="G191" s="273">
        <v>143</v>
      </c>
      <c r="H191" s="273">
        <v>3147251</v>
      </c>
      <c r="I191" s="273">
        <v>0</v>
      </c>
      <c r="J191" s="273">
        <v>13108</v>
      </c>
      <c r="K191" s="273">
        <v>0</v>
      </c>
      <c r="L191" s="273">
        <v>189746785</v>
      </c>
      <c r="M191" s="273">
        <f t="shared" si="2"/>
        <v>4743670</v>
      </c>
      <c r="N191" s="273">
        <v>0</v>
      </c>
      <c r="P191" s="11"/>
    </row>
    <row r="192" spans="5:16" hidden="1">
      <c r="E192" s="272"/>
      <c r="F192" s="273" t="s">
        <v>408</v>
      </c>
      <c r="G192" s="273">
        <v>144</v>
      </c>
      <c r="H192" s="273">
        <v>31410826</v>
      </c>
      <c r="I192" s="273">
        <v>0</v>
      </c>
      <c r="J192" s="273">
        <v>366577</v>
      </c>
      <c r="K192" s="273">
        <v>2900000</v>
      </c>
      <c r="L192" s="273">
        <v>2519445906</v>
      </c>
      <c r="M192" s="273">
        <f t="shared" si="2"/>
        <v>62986148</v>
      </c>
      <c r="N192" s="273">
        <v>0</v>
      </c>
      <c r="P192" s="11"/>
    </row>
    <row r="193" spans="5:16" hidden="1">
      <c r="E193" s="272"/>
      <c r="F193" s="273" t="s">
        <v>409</v>
      </c>
      <c r="G193" s="273">
        <v>145</v>
      </c>
      <c r="H193" s="273">
        <v>27848315</v>
      </c>
      <c r="I193" s="273">
        <v>0</v>
      </c>
      <c r="J193" s="273">
        <v>581451</v>
      </c>
      <c r="K193" s="273">
        <v>0</v>
      </c>
      <c r="L193" s="273">
        <v>1686825615</v>
      </c>
      <c r="M193" s="273">
        <f t="shared" si="2"/>
        <v>42170640</v>
      </c>
      <c r="N193" s="273">
        <v>0</v>
      </c>
      <c r="P193" s="11"/>
    </row>
    <row r="194" spans="5:16" hidden="1">
      <c r="E194" s="272"/>
      <c r="F194" s="273" t="s">
        <v>410</v>
      </c>
      <c r="G194" s="273">
        <v>146</v>
      </c>
      <c r="H194" s="273">
        <v>19390290</v>
      </c>
      <c r="I194" s="273">
        <v>0</v>
      </c>
      <c r="J194" s="273">
        <v>340026</v>
      </c>
      <c r="K194" s="273">
        <v>0</v>
      </c>
      <c r="L194" s="273">
        <v>1479232984</v>
      </c>
      <c r="M194" s="273">
        <f t="shared" si="2"/>
        <v>36980825</v>
      </c>
      <c r="N194" s="273">
        <v>0</v>
      </c>
      <c r="P194" s="11"/>
    </row>
    <row r="195" spans="5:16" hidden="1">
      <c r="E195" s="272"/>
      <c r="F195" s="273" t="s">
        <v>411</v>
      </c>
      <c r="G195" s="273">
        <v>147</v>
      </c>
      <c r="H195" s="273">
        <v>15183786</v>
      </c>
      <c r="I195" s="273">
        <v>0</v>
      </c>
      <c r="J195" s="273">
        <v>193054</v>
      </c>
      <c r="K195" s="273">
        <v>0</v>
      </c>
      <c r="L195" s="273">
        <v>841274963</v>
      </c>
      <c r="M195" s="273">
        <f t="shared" si="2"/>
        <v>21031874</v>
      </c>
      <c r="N195" s="273">
        <v>0</v>
      </c>
      <c r="P195" s="11"/>
    </row>
    <row r="196" spans="5:16" hidden="1">
      <c r="E196" s="272"/>
      <c r="F196" s="273" t="s">
        <v>412</v>
      </c>
      <c r="G196" s="273">
        <v>148</v>
      </c>
      <c r="H196" s="273">
        <v>7573102</v>
      </c>
      <c r="I196" s="273">
        <v>0</v>
      </c>
      <c r="J196" s="273">
        <v>61099</v>
      </c>
      <c r="K196" s="273">
        <v>0</v>
      </c>
      <c r="L196" s="273">
        <v>397346099</v>
      </c>
      <c r="M196" s="273">
        <f t="shared" si="2"/>
        <v>9933652</v>
      </c>
      <c r="N196" s="273">
        <v>0</v>
      </c>
      <c r="P196" s="11"/>
    </row>
    <row r="197" spans="5:16" hidden="1">
      <c r="E197" s="272"/>
      <c r="F197" s="273" t="s">
        <v>413</v>
      </c>
      <c r="G197" s="273">
        <v>149</v>
      </c>
      <c r="H197" s="273">
        <v>60555260</v>
      </c>
      <c r="I197" s="273">
        <v>0</v>
      </c>
      <c r="J197" s="273">
        <v>1642632</v>
      </c>
      <c r="K197" s="273">
        <v>0</v>
      </c>
      <c r="L197" s="273">
        <v>3191934330</v>
      </c>
      <c r="M197" s="273">
        <f t="shared" si="2"/>
        <v>79798358</v>
      </c>
      <c r="N197" s="273">
        <v>0</v>
      </c>
      <c r="P197" s="11"/>
    </row>
    <row r="198" spans="5:16" hidden="1">
      <c r="E198" s="272"/>
      <c r="F198" s="273" t="s">
        <v>414</v>
      </c>
      <c r="G198" s="273">
        <v>150</v>
      </c>
      <c r="H198" s="273">
        <v>13746354</v>
      </c>
      <c r="I198" s="273">
        <v>644</v>
      </c>
      <c r="J198" s="273">
        <v>181173</v>
      </c>
      <c r="K198" s="273">
        <v>0</v>
      </c>
      <c r="L198" s="273">
        <v>912378464</v>
      </c>
      <c r="M198" s="273">
        <f t="shared" si="2"/>
        <v>22809462</v>
      </c>
      <c r="N198" s="273">
        <v>0</v>
      </c>
      <c r="P198" s="11"/>
    </row>
    <row r="199" spans="5:16" hidden="1">
      <c r="E199" s="276"/>
      <c r="F199" s="273" t="s">
        <v>415</v>
      </c>
      <c r="G199" s="273">
        <v>151</v>
      </c>
      <c r="H199" s="273">
        <v>12449284</v>
      </c>
      <c r="I199" s="273">
        <v>0</v>
      </c>
      <c r="J199" s="273">
        <v>220268</v>
      </c>
      <c r="K199" s="273">
        <v>0</v>
      </c>
      <c r="L199" s="273">
        <v>899572172</v>
      </c>
      <c r="M199" s="273">
        <f t="shared" si="2"/>
        <v>22489304</v>
      </c>
      <c r="N199" s="273">
        <v>0</v>
      </c>
      <c r="P199" s="11"/>
    </row>
    <row r="200" spans="5:16" hidden="1">
      <c r="E200" s="272"/>
      <c r="F200" s="273" t="s">
        <v>416</v>
      </c>
      <c r="G200" s="273">
        <v>152</v>
      </c>
      <c r="H200" s="273">
        <v>14994894</v>
      </c>
      <c r="I200" s="273">
        <v>0</v>
      </c>
      <c r="J200" s="273">
        <v>163137</v>
      </c>
      <c r="K200" s="273">
        <v>0</v>
      </c>
      <c r="L200" s="273">
        <v>1138874950</v>
      </c>
      <c r="M200" s="273">
        <f t="shared" si="2"/>
        <v>28471874</v>
      </c>
      <c r="N200" s="273">
        <v>0</v>
      </c>
      <c r="P200" s="11"/>
    </row>
    <row r="201" spans="5:16" hidden="1">
      <c r="E201" s="272"/>
      <c r="F201" s="273" t="s">
        <v>417</v>
      </c>
      <c r="G201" s="273">
        <v>153</v>
      </c>
      <c r="H201" s="273">
        <v>65231774</v>
      </c>
      <c r="I201" s="273">
        <v>0</v>
      </c>
      <c r="J201" s="273">
        <v>1224759</v>
      </c>
      <c r="K201" s="273">
        <v>0</v>
      </c>
      <c r="L201" s="273">
        <v>3209547786</v>
      </c>
      <c r="M201" s="273">
        <f t="shared" si="2"/>
        <v>80238695</v>
      </c>
      <c r="N201" s="273">
        <v>0</v>
      </c>
      <c r="P201" s="11"/>
    </row>
    <row r="202" spans="5:16" hidden="1">
      <c r="E202" s="272"/>
      <c r="F202" s="273" t="s">
        <v>418</v>
      </c>
      <c r="G202" s="273">
        <v>154</v>
      </c>
      <c r="H202" s="273">
        <v>4641421</v>
      </c>
      <c r="I202" s="273">
        <v>0</v>
      </c>
      <c r="J202" s="273">
        <v>37995</v>
      </c>
      <c r="K202" s="273">
        <v>0</v>
      </c>
      <c r="L202" s="273">
        <v>251571490</v>
      </c>
      <c r="M202" s="273">
        <f t="shared" si="2"/>
        <v>6289287</v>
      </c>
      <c r="N202" s="273">
        <v>0</v>
      </c>
      <c r="P202" s="11"/>
    </row>
    <row r="203" spans="5:16" hidden="1">
      <c r="E203" s="272"/>
      <c r="F203" s="273" t="s">
        <v>419</v>
      </c>
      <c r="G203" s="273">
        <v>155</v>
      </c>
      <c r="H203" s="273">
        <v>148286733</v>
      </c>
      <c r="I203" s="273">
        <v>100500</v>
      </c>
      <c r="J203" s="273">
        <v>2672134</v>
      </c>
      <c r="K203" s="273">
        <v>0</v>
      </c>
      <c r="L203" s="273">
        <v>10048547685</v>
      </c>
      <c r="M203" s="273">
        <f t="shared" si="2"/>
        <v>251213692</v>
      </c>
      <c r="N203" s="273">
        <v>0</v>
      </c>
      <c r="P203" s="11"/>
    </row>
    <row r="204" spans="5:16" hidden="1">
      <c r="E204" s="276"/>
      <c r="F204" s="273" t="s">
        <v>420</v>
      </c>
      <c r="G204" s="273">
        <v>156</v>
      </c>
      <c r="H204" s="273">
        <v>1672733</v>
      </c>
      <c r="I204" s="273">
        <v>0</v>
      </c>
      <c r="J204" s="273">
        <v>7302</v>
      </c>
      <c r="K204" s="273">
        <v>0</v>
      </c>
      <c r="L204" s="273">
        <v>83802549</v>
      </c>
      <c r="M204" s="273">
        <f t="shared" si="2"/>
        <v>2095064</v>
      </c>
      <c r="N204" s="273">
        <v>0</v>
      </c>
      <c r="P204" s="11"/>
    </row>
    <row r="205" spans="5:16" hidden="1">
      <c r="E205" s="272"/>
      <c r="F205" s="273" t="s">
        <v>421</v>
      </c>
      <c r="G205" s="273">
        <v>157</v>
      </c>
      <c r="H205" s="273">
        <v>24966534</v>
      </c>
      <c r="I205" s="273">
        <v>0</v>
      </c>
      <c r="J205" s="273">
        <v>287273</v>
      </c>
      <c r="K205" s="273">
        <v>0</v>
      </c>
      <c r="L205" s="273">
        <v>1973333662</v>
      </c>
      <c r="M205" s="273">
        <f t="shared" si="2"/>
        <v>49333342</v>
      </c>
      <c r="N205" s="273">
        <v>0</v>
      </c>
      <c r="P205" s="11"/>
    </row>
    <row r="206" spans="5:16" hidden="1">
      <c r="E206" s="272"/>
      <c r="F206" s="273" t="s">
        <v>422</v>
      </c>
      <c r="G206" s="273">
        <v>158</v>
      </c>
      <c r="H206" s="273">
        <v>28490305</v>
      </c>
      <c r="I206" s="273">
        <v>0</v>
      </c>
      <c r="J206" s="273">
        <v>1249222</v>
      </c>
      <c r="K206" s="273">
        <v>0</v>
      </c>
      <c r="L206" s="273">
        <v>1625366807</v>
      </c>
      <c r="M206" s="273">
        <f t="shared" si="2"/>
        <v>40634170</v>
      </c>
      <c r="N206" s="273">
        <v>0</v>
      </c>
      <c r="P206" s="11"/>
    </row>
    <row r="207" spans="5:16" hidden="1">
      <c r="E207" s="272"/>
      <c r="F207" s="273" t="s">
        <v>423</v>
      </c>
      <c r="G207" s="273">
        <v>159</v>
      </c>
      <c r="H207" s="273">
        <v>42898689</v>
      </c>
      <c r="I207" s="273">
        <v>0</v>
      </c>
      <c r="J207" s="273">
        <v>228298</v>
      </c>
      <c r="K207" s="273">
        <v>0</v>
      </c>
      <c r="L207" s="273">
        <v>1965330665</v>
      </c>
      <c r="M207" s="273">
        <f t="shared" si="2"/>
        <v>49133267</v>
      </c>
      <c r="N207" s="273">
        <v>0</v>
      </c>
      <c r="P207" s="11"/>
    </row>
    <row r="208" spans="5:16" hidden="1">
      <c r="E208" s="272"/>
      <c r="F208" s="273" t="s">
        <v>424</v>
      </c>
      <c r="G208" s="273">
        <v>160</v>
      </c>
      <c r="H208" s="273">
        <v>128838969</v>
      </c>
      <c r="I208" s="273">
        <v>0</v>
      </c>
      <c r="J208" s="273">
        <v>2247217</v>
      </c>
      <c r="K208" s="273">
        <v>0</v>
      </c>
      <c r="L208" s="273">
        <v>6683928991</v>
      </c>
      <c r="M208" s="273">
        <f t="shared" si="2"/>
        <v>167098225</v>
      </c>
      <c r="N208" s="273">
        <v>0</v>
      </c>
      <c r="P208" s="11"/>
    </row>
    <row r="209" spans="5:16" hidden="1">
      <c r="E209" s="276"/>
      <c r="F209" s="273" t="s">
        <v>425</v>
      </c>
      <c r="G209" s="273">
        <v>161</v>
      </c>
      <c r="H209" s="273">
        <v>35290482</v>
      </c>
      <c r="I209" s="273">
        <v>0</v>
      </c>
      <c r="J209" s="273">
        <v>378495</v>
      </c>
      <c r="K209" s="273">
        <v>0</v>
      </c>
      <c r="L209" s="273">
        <v>1955729200</v>
      </c>
      <c r="M209" s="273">
        <f t="shared" si="2"/>
        <v>48893230</v>
      </c>
      <c r="N209" s="273">
        <v>0</v>
      </c>
      <c r="P209" s="11"/>
    </row>
    <row r="210" spans="5:16" hidden="1">
      <c r="E210" s="272"/>
      <c r="F210" s="273" t="s">
        <v>426</v>
      </c>
      <c r="G210" s="273">
        <v>162</v>
      </c>
      <c r="H210" s="273">
        <v>20183974</v>
      </c>
      <c r="I210" s="273">
        <v>0</v>
      </c>
      <c r="J210" s="273">
        <v>360856</v>
      </c>
      <c r="K210" s="273">
        <v>0</v>
      </c>
      <c r="L210" s="273">
        <v>1199604323</v>
      </c>
      <c r="M210" s="273">
        <f t="shared" si="2"/>
        <v>29990108</v>
      </c>
      <c r="N210" s="273">
        <v>0</v>
      </c>
      <c r="P210" s="11"/>
    </row>
    <row r="211" spans="5:16" hidden="1">
      <c r="E211" s="272"/>
      <c r="F211" s="273" t="s">
        <v>427</v>
      </c>
      <c r="G211" s="273">
        <v>163</v>
      </c>
      <c r="H211" s="273">
        <v>112048550</v>
      </c>
      <c r="I211" s="273">
        <v>0</v>
      </c>
      <c r="J211" s="273">
        <v>2345020</v>
      </c>
      <c r="K211" s="273">
        <v>0</v>
      </c>
      <c r="L211" s="273">
        <v>6396561177</v>
      </c>
      <c r="M211" s="273">
        <f t="shared" si="2"/>
        <v>159914029</v>
      </c>
      <c r="N211" s="273">
        <v>0</v>
      </c>
      <c r="P211" s="11"/>
    </row>
    <row r="212" spans="5:16" hidden="1">
      <c r="E212" s="272"/>
      <c r="F212" s="273" t="s">
        <v>428</v>
      </c>
      <c r="G212" s="273">
        <v>164</v>
      </c>
      <c r="H212" s="273">
        <v>36175368</v>
      </c>
      <c r="I212" s="273">
        <v>0</v>
      </c>
      <c r="J212" s="273">
        <v>1119769</v>
      </c>
      <c r="K212" s="273">
        <v>0</v>
      </c>
      <c r="L212" s="273">
        <v>2738317688</v>
      </c>
      <c r="M212" s="273">
        <f t="shared" si="2"/>
        <v>68457942</v>
      </c>
      <c r="N212" s="273">
        <v>0</v>
      </c>
      <c r="P212" s="11"/>
    </row>
    <row r="213" spans="5:16" hidden="1">
      <c r="E213" s="272"/>
      <c r="F213" s="273" t="s">
        <v>429</v>
      </c>
      <c r="G213" s="273">
        <v>165</v>
      </c>
      <c r="H213" s="273">
        <v>75893339</v>
      </c>
      <c r="I213" s="273">
        <v>0</v>
      </c>
      <c r="J213" s="273">
        <v>1281120</v>
      </c>
      <c r="K213" s="273">
        <v>0</v>
      </c>
      <c r="L213" s="273">
        <v>5831500580</v>
      </c>
      <c r="M213" s="273">
        <f t="shared" si="2"/>
        <v>145787515</v>
      </c>
      <c r="N213" s="273">
        <v>0</v>
      </c>
      <c r="P213" s="11"/>
    </row>
    <row r="214" spans="5:16" hidden="1">
      <c r="E214" s="272"/>
      <c r="F214" s="273" t="s">
        <v>430</v>
      </c>
      <c r="G214" s="273">
        <v>166</v>
      </c>
      <c r="H214" s="273">
        <v>20645545</v>
      </c>
      <c r="I214" s="273">
        <v>0</v>
      </c>
      <c r="J214" s="273">
        <v>307992</v>
      </c>
      <c r="K214" s="273">
        <v>492792</v>
      </c>
      <c r="L214" s="273">
        <v>2245655594</v>
      </c>
      <c r="M214" s="273">
        <f t="shared" si="2"/>
        <v>56141390</v>
      </c>
      <c r="N214" s="273">
        <v>0</v>
      </c>
      <c r="P214" s="11"/>
    </row>
    <row r="215" spans="5:16" hidden="1">
      <c r="E215" s="272"/>
      <c r="F215" s="273" t="s">
        <v>431</v>
      </c>
      <c r="G215" s="273">
        <v>167</v>
      </c>
      <c r="H215" s="273">
        <v>52738491</v>
      </c>
      <c r="I215" s="273">
        <v>0</v>
      </c>
      <c r="J215" s="273">
        <v>1182866</v>
      </c>
      <c r="K215" s="273">
        <v>0</v>
      </c>
      <c r="L215" s="273">
        <v>3328444390</v>
      </c>
      <c r="M215" s="273">
        <f t="shared" si="2"/>
        <v>83211110</v>
      </c>
      <c r="N215" s="273">
        <v>0</v>
      </c>
      <c r="P215" s="11"/>
    </row>
    <row r="216" spans="5:16" hidden="1">
      <c r="E216" s="272"/>
      <c r="F216" s="273" t="s">
        <v>432</v>
      </c>
      <c r="G216" s="273">
        <v>168</v>
      </c>
      <c r="H216" s="273">
        <v>54101450</v>
      </c>
      <c r="I216" s="273">
        <v>0</v>
      </c>
      <c r="J216" s="273">
        <v>421201</v>
      </c>
      <c r="K216" s="273">
        <v>0</v>
      </c>
      <c r="L216" s="273">
        <v>5525938716</v>
      </c>
      <c r="M216" s="273">
        <f t="shared" si="2"/>
        <v>138148468</v>
      </c>
      <c r="N216" s="273">
        <v>0</v>
      </c>
      <c r="P216" s="11"/>
    </row>
    <row r="217" spans="5:16" hidden="1">
      <c r="E217" s="272"/>
      <c r="F217" s="273" t="s">
        <v>433</v>
      </c>
      <c r="G217" s="273">
        <v>169</v>
      </c>
      <c r="H217" s="273">
        <v>15918649</v>
      </c>
      <c r="I217" s="273">
        <v>0</v>
      </c>
      <c r="J217" s="273">
        <v>145947</v>
      </c>
      <c r="K217" s="273">
        <v>0</v>
      </c>
      <c r="L217" s="273">
        <v>1505616050</v>
      </c>
      <c r="M217" s="273">
        <f t="shared" si="2"/>
        <v>37640401</v>
      </c>
      <c r="N217" s="273">
        <v>0</v>
      </c>
      <c r="P217" s="11"/>
    </row>
    <row r="218" spans="5:16" hidden="1">
      <c r="E218" s="272"/>
      <c r="F218" s="273" t="s">
        <v>434</v>
      </c>
      <c r="G218" s="273">
        <v>170</v>
      </c>
      <c r="H218" s="273">
        <v>113153270</v>
      </c>
      <c r="I218" s="273">
        <v>0</v>
      </c>
      <c r="J218" s="273">
        <v>3981634</v>
      </c>
      <c r="K218" s="273">
        <v>0</v>
      </c>
      <c r="L218" s="273">
        <v>4870542929</v>
      </c>
      <c r="M218" s="273">
        <f t="shared" si="2"/>
        <v>121763573</v>
      </c>
      <c r="N218" s="273">
        <v>0</v>
      </c>
      <c r="P218" s="11"/>
    </row>
    <row r="219" spans="5:16" hidden="1">
      <c r="E219" s="272"/>
      <c r="F219" s="273" t="s">
        <v>435</v>
      </c>
      <c r="G219" s="273">
        <v>171</v>
      </c>
      <c r="H219" s="273">
        <v>54334533</v>
      </c>
      <c r="I219" s="273">
        <v>2742</v>
      </c>
      <c r="J219" s="273">
        <v>674854</v>
      </c>
      <c r="K219" s="273">
        <v>0</v>
      </c>
      <c r="L219" s="273">
        <v>4379265179</v>
      </c>
      <c r="M219" s="273">
        <f t="shared" si="2"/>
        <v>109481629</v>
      </c>
      <c r="N219" s="273">
        <v>0</v>
      </c>
      <c r="P219" s="11"/>
    </row>
    <row r="220" spans="5:16" hidden="1">
      <c r="E220" s="272"/>
      <c r="F220" s="273" t="s">
        <v>436</v>
      </c>
      <c r="G220" s="273">
        <v>172</v>
      </c>
      <c r="H220" s="273">
        <v>40709631</v>
      </c>
      <c r="I220" s="273">
        <v>0</v>
      </c>
      <c r="J220" s="273">
        <v>739809</v>
      </c>
      <c r="K220" s="273">
        <v>0</v>
      </c>
      <c r="L220" s="273">
        <v>4765906450</v>
      </c>
      <c r="M220" s="273">
        <f t="shared" si="2"/>
        <v>119147661</v>
      </c>
      <c r="N220" s="273">
        <v>0</v>
      </c>
      <c r="P220" s="11"/>
    </row>
    <row r="221" spans="5:16" hidden="1">
      <c r="E221" s="272"/>
      <c r="F221" s="273" t="s">
        <v>437</v>
      </c>
      <c r="G221" s="273">
        <v>173</v>
      </c>
      <c r="H221" s="273">
        <v>18895317</v>
      </c>
      <c r="I221" s="273">
        <v>0</v>
      </c>
      <c r="J221" s="273">
        <v>293456</v>
      </c>
      <c r="K221" s="273">
        <v>0</v>
      </c>
      <c r="L221" s="273">
        <v>1581500341</v>
      </c>
      <c r="M221" s="273">
        <f t="shared" si="2"/>
        <v>39537509</v>
      </c>
      <c r="N221" s="273">
        <v>0</v>
      </c>
      <c r="P221" s="11"/>
    </row>
    <row r="222" spans="5:16" hidden="1">
      <c r="E222" s="272"/>
      <c r="F222" s="273" t="s">
        <v>438</v>
      </c>
      <c r="G222" s="273">
        <v>174</v>
      </c>
      <c r="H222" s="273">
        <v>24969301</v>
      </c>
      <c r="I222" s="273">
        <v>0</v>
      </c>
      <c r="J222" s="273">
        <v>428776</v>
      </c>
      <c r="K222" s="273">
        <v>0</v>
      </c>
      <c r="L222" s="273">
        <v>1275469015</v>
      </c>
      <c r="M222" s="273">
        <f t="shared" si="2"/>
        <v>31886725</v>
      </c>
      <c r="N222" s="273">
        <v>0</v>
      </c>
      <c r="P222" s="11"/>
    </row>
    <row r="223" spans="5:16" hidden="1">
      <c r="E223" s="272"/>
      <c r="F223" s="273" t="s">
        <v>439</v>
      </c>
      <c r="G223" s="273">
        <v>175</v>
      </c>
      <c r="H223" s="273">
        <v>35595080</v>
      </c>
      <c r="I223" s="273">
        <v>0</v>
      </c>
      <c r="J223" s="273">
        <v>379136</v>
      </c>
      <c r="K223" s="273">
        <v>0</v>
      </c>
      <c r="L223" s="273">
        <v>2485214555</v>
      </c>
      <c r="M223" s="273">
        <f t="shared" si="2"/>
        <v>62130364</v>
      </c>
      <c r="N223" s="273">
        <v>0</v>
      </c>
      <c r="P223" s="11"/>
    </row>
    <row r="224" spans="5:16" hidden="1">
      <c r="E224" s="272"/>
      <c r="F224" s="273" t="s">
        <v>440</v>
      </c>
      <c r="G224" s="273">
        <v>176</v>
      </c>
      <c r="H224" s="273">
        <v>96504325</v>
      </c>
      <c r="I224" s="273">
        <v>0</v>
      </c>
      <c r="J224" s="273">
        <v>1937392</v>
      </c>
      <c r="K224" s="273">
        <v>0</v>
      </c>
      <c r="L224" s="273">
        <v>8086569270</v>
      </c>
      <c r="M224" s="273">
        <f t="shared" si="2"/>
        <v>202164232</v>
      </c>
      <c r="N224" s="273">
        <v>0</v>
      </c>
      <c r="P224" s="11"/>
    </row>
    <row r="225" spans="5:16" hidden="1">
      <c r="E225" s="272"/>
      <c r="F225" s="273" t="s">
        <v>441</v>
      </c>
      <c r="G225" s="273">
        <v>177</v>
      </c>
      <c r="H225" s="273">
        <v>30055012</v>
      </c>
      <c r="I225" s="273">
        <v>0</v>
      </c>
      <c r="J225" s="273">
        <v>516662</v>
      </c>
      <c r="K225" s="273">
        <v>0</v>
      </c>
      <c r="L225" s="273">
        <v>1808117039</v>
      </c>
      <c r="M225" s="273">
        <f t="shared" si="2"/>
        <v>45202926</v>
      </c>
      <c r="N225" s="273">
        <v>0</v>
      </c>
      <c r="P225" s="11"/>
    </row>
    <row r="226" spans="5:16" hidden="1">
      <c r="E226" s="272"/>
      <c r="F226" s="273" t="s">
        <v>442</v>
      </c>
      <c r="G226" s="273">
        <v>178</v>
      </c>
      <c r="H226" s="273">
        <v>49487204</v>
      </c>
      <c r="I226" s="273">
        <v>0</v>
      </c>
      <c r="J226" s="273">
        <v>689650</v>
      </c>
      <c r="K226" s="273">
        <v>0</v>
      </c>
      <c r="L226" s="273">
        <v>4209169830</v>
      </c>
      <c r="M226" s="273">
        <f t="shared" si="2"/>
        <v>105229246</v>
      </c>
      <c r="N226" s="273">
        <v>0</v>
      </c>
      <c r="P226" s="11"/>
    </row>
    <row r="227" spans="5:16" hidden="1">
      <c r="E227" s="272"/>
      <c r="F227" s="273" t="s">
        <v>443</v>
      </c>
      <c r="G227" s="273">
        <v>179</v>
      </c>
      <c r="H227" s="273">
        <v>11539765</v>
      </c>
      <c r="I227" s="273">
        <v>0</v>
      </c>
      <c r="J227" s="273">
        <v>277836</v>
      </c>
      <c r="K227" s="273">
        <v>1133827</v>
      </c>
      <c r="L227" s="273">
        <v>843817300</v>
      </c>
      <c r="M227" s="273">
        <f t="shared" si="2"/>
        <v>21095433</v>
      </c>
      <c r="N227" s="273">
        <v>0</v>
      </c>
      <c r="P227" s="11"/>
    </row>
    <row r="228" spans="5:16" hidden="1">
      <c r="E228" s="272"/>
      <c r="F228" s="273" t="s">
        <v>444</v>
      </c>
      <c r="G228" s="273">
        <v>180</v>
      </c>
      <c r="H228" s="273">
        <v>10765429</v>
      </c>
      <c r="I228" s="273">
        <v>0</v>
      </c>
      <c r="J228" s="273">
        <v>153217</v>
      </c>
      <c r="K228" s="273">
        <v>0</v>
      </c>
      <c r="L228" s="273">
        <v>709147045</v>
      </c>
      <c r="M228" s="273">
        <f t="shared" si="2"/>
        <v>17728676</v>
      </c>
      <c r="N228" s="273">
        <v>0</v>
      </c>
      <c r="P228" s="11"/>
    </row>
    <row r="229" spans="5:16" hidden="1">
      <c r="E229" s="272"/>
      <c r="F229" s="273" t="s">
        <v>445</v>
      </c>
      <c r="G229" s="273">
        <v>181</v>
      </c>
      <c r="H229" s="273">
        <v>77798956</v>
      </c>
      <c r="I229" s="273">
        <v>0</v>
      </c>
      <c r="J229" s="273">
        <v>849052</v>
      </c>
      <c r="K229" s="273">
        <v>0</v>
      </c>
      <c r="L229" s="273">
        <v>4804659354</v>
      </c>
      <c r="M229" s="273">
        <f t="shared" si="2"/>
        <v>120116484</v>
      </c>
      <c r="N229" s="273">
        <v>0</v>
      </c>
      <c r="P229" s="11"/>
    </row>
    <row r="230" spans="5:16" hidden="1">
      <c r="E230" s="272"/>
      <c r="F230" s="273" t="s">
        <v>446</v>
      </c>
      <c r="G230" s="273">
        <v>182</v>
      </c>
      <c r="H230" s="273">
        <v>35585189</v>
      </c>
      <c r="I230" s="273">
        <v>0</v>
      </c>
      <c r="J230" s="273">
        <v>528156</v>
      </c>
      <c r="K230" s="273">
        <v>0</v>
      </c>
      <c r="L230" s="273">
        <v>2302033363</v>
      </c>
      <c r="M230" s="273">
        <f t="shared" si="2"/>
        <v>57550834</v>
      </c>
      <c r="N230" s="273">
        <v>0</v>
      </c>
      <c r="P230" s="11"/>
    </row>
    <row r="231" spans="5:16" hidden="1">
      <c r="E231" s="272"/>
      <c r="F231" s="273" t="s">
        <v>447</v>
      </c>
      <c r="G231" s="273">
        <v>183</v>
      </c>
      <c r="H231" s="273">
        <v>1260822</v>
      </c>
      <c r="I231" s="273">
        <v>0</v>
      </c>
      <c r="J231" s="273">
        <v>8538</v>
      </c>
      <c r="K231" s="273">
        <v>0</v>
      </c>
      <c r="L231" s="273">
        <v>65495063</v>
      </c>
      <c r="M231" s="273">
        <f t="shared" si="2"/>
        <v>1637377</v>
      </c>
      <c r="N231" s="273">
        <v>0</v>
      </c>
      <c r="P231" s="11"/>
    </row>
    <row r="232" spans="5:16" hidden="1">
      <c r="E232" s="272"/>
      <c r="F232" s="273" t="s">
        <v>448</v>
      </c>
      <c r="G232" s="273">
        <v>184</v>
      </c>
      <c r="H232" s="273">
        <v>22615837</v>
      </c>
      <c r="I232" s="273">
        <v>0</v>
      </c>
      <c r="J232" s="273">
        <v>519816</v>
      </c>
      <c r="K232" s="273">
        <v>0</v>
      </c>
      <c r="L232" s="273">
        <v>1779572637</v>
      </c>
      <c r="M232" s="273">
        <f t="shared" si="2"/>
        <v>44489316</v>
      </c>
      <c r="N232" s="273">
        <v>0</v>
      </c>
      <c r="P232" s="11"/>
    </row>
    <row r="233" spans="5:16" hidden="1">
      <c r="E233" s="272"/>
      <c r="F233" s="273" t="s">
        <v>449</v>
      </c>
      <c r="G233" s="273">
        <v>185</v>
      </c>
      <c r="H233" s="273">
        <v>60593474</v>
      </c>
      <c r="I233" s="273">
        <v>0</v>
      </c>
      <c r="J233" s="273">
        <v>786087</v>
      </c>
      <c r="K233" s="273">
        <v>0</v>
      </c>
      <c r="L233" s="273">
        <v>3007636160</v>
      </c>
      <c r="M233" s="273">
        <f t="shared" si="2"/>
        <v>75190904</v>
      </c>
      <c r="N233" s="273">
        <v>0</v>
      </c>
      <c r="P233" s="11"/>
    </row>
    <row r="234" spans="5:16" hidden="1">
      <c r="E234" s="272"/>
      <c r="F234" s="273" t="s">
        <v>450</v>
      </c>
      <c r="G234" s="273">
        <v>186</v>
      </c>
      <c r="H234" s="273">
        <v>20747347</v>
      </c>
      <c r="I234" s="273">
        <v>0</v>
      </c>
      <c r="J234" s="273">
        <v>401150</v>
      </c>
      <c r="K234" s="273">
        <v>0</v>
      </c>
      <c r="L234" s="273">
        <v>1395657448</v>
      </c>
      <c r="M234" s="273">
        <f t="shared" si="2"/>
        <v>34891436</v>
      </c>
      <c r="N234" s="273">
        <v>0</v>
      </c>
      <c r="P234" s="11"/>
    </row>
    <row r="235" spans="5:16" hidden="1">
      <c r="E235" s="272"/>
      <c r="F235" s="273" t="s">
        <v>451</v>
      </c>
      <c r="G235" s="273">
        <v>187</v>
      </c>
      <c r="H235" s="273">
        <v>17112343</v>
      </c>
      <c r="I235" s="273">
        <v>0</v>
      </c>
      <c r="J235" s="273">
        <v>297761</v>
      </c>
      <c r="K235" s="273">
        <v>0</v>
      </c>
      <c r="L235" s="273">
        <v>1065964880</v>
      </c>
      <c r="M235" s="273">
        <f t="shared" si="2"/>
        <v>26649122</v>
      </c>
      <c r="N235" s="273">
        <v>0</v>
      </c>
      <c r="P235" s="11"/>
    </row>
    <row r="236" spans="5:16" hidden="1">
      <c r="E236" s="272"/>
      <c r="F236" s="273" t="s">
        <v>452</v>
      </c>
      <c r="G236" s="273">
        <v>188</v>
      </c>
      <c r="H236" s="273">
        <v>4211865</v>
      </c>
      <c r="I236" s="273">
        <v>0</v>
      </c>
      <c r="J236" s="273">
        <v>30608</v>
      </c>
      <c r="K236" s="273">
        <v>0</v>
      </c>
      <c r="L236" s="273">
        <v>269791233</v>
      </c>
      <c r="M236" s="273">
        <f t="shared" si="2"/>
        <v>6744781</v>
      </c>
      <c r="N236" s="273">
        <v>0</v>
      </c>
      <c r="P236" s="11"/>
    </row>
    <row r="237" spans="5:16" hidden="1">
      <c r="E237" s="272"/>
      <c r="F237" s="273" t="s">
        <v>453</v>
      </c>
      <c r="G237" s="273">
        <v>189</v>
      </c>
      <c r="H237" s="273">
        <v>66249931</v>
      </c>
      <c r="I237" s="273">
        <v>0</v>
      </c>
      <c r="J237" s="273">
        <v>736489</v>
      </c>
      <c r="K237" s="273">
        <v>0</v>
      </c>
      <c r="L237" s="273">
        <v>5148564163</v>
      </c>
      <c r="M237" s="273">
        <f t="shared" si="2"/>
        <v>128714104</v>
      </c>
      <c r="N237" s="273">
        <v>0</v>
      </c>
      <c r="P237" s="11"/>
    </row>
    <row r="238" spans="5:16" hidden="1">
      <c r="E238" s="272"/>
      <c r="F238" s="273" t="s">
        <v>454</v>
      </c>
      <c r="G238" s="273">
        <v>190</v>
      </c>
      <c r="H238" s="273">
        <v>581932</v>
      </c>
      <c r="I238" s="273">
        <v>0</v>
      </c>
      <c r="J238" s="273">
        <v>1576</v>
      </c>
      <c r="K238" s="273">
        <v>0</v>
      </c>
      <c r="L238" s="273">
        <v>25848017</v>
      </c>
      <c r="M238" s="273">
        <f t="shared" si="2"/>
        <v>646200</v>
      </c>
      <c r="N238" s="273">
        <v>0</v>
      </c>
      <c r="P238" s="11"/>
    </row>
    <row r="239" spans="5:16" hidden="1">
      <c r="E239" s="272"/>
      <c r="F239" s="273" t="s">
        <v>455</v>
      </c>
      <c r="G239" s="273">
        <v>191</v>
      </c>
      <c r="H239" s="273">
        <v>11739088</v>
      </c>
      <c r="I239" s="273">
        <v>0</v>
      </c>
      <c r="J239" s="273">
        <v>162488</v>
      </c>
      <c r="K239" s="273">
        <v>0</v>
      </c>
      <c r="L239" s="273">
        <v>733225391</v>
      </c>
      <c r="M239" s="273">
        <f t="shared" si="2"/>
        <v>18330635</v>
      </c>
      <c r="N239" s="273">
        <v>0</v>
      </c>
      <c r="P239" s="11"/>
    </row>
    <row r="240" spans="5:16" hidden="1">
      <c r="E240" s="272"/>
      <c r="F240" s="273" t="s">
        <v>456</v>
      </c>
      <c r="G240" s="273">
        <v>192</v>
      </c>
      <c r="H240" s="273">
        <v>14144902</v>
      </c>
      <c r="I240" s="273">
        <v>0</v>
      </c>
      <c r="J240" s="273">
        <v>144319</v>
      </c>
      <c r="K240" s="273">
        <v>0</v>
      </c>
      <c r="L240" s="273">
        <v>756413618</v>
      </c>
      <c r="M240" s="273">
        <f t="shared" si="2"/>
        <v>18910340</v>
      </c>
      <c r="N240" s="273">
        <v>0</v>
      </c>
      <c r="P240" s="11"/>
    </row>
    <row r="241" spans="5:16" hidden="1">
      <c r="E241" s="272"/>
      <c r="F241" s="273" t="s">
        <v>457</v>
      </c>
      <c r="G241" s="273">
        <v>193</v>
      </c>
      <c r="H241" s="273">
        <v>3050882</v>
      </c>
      <c r="I241" s="273">
        <v>0</v>
      </c>
      <c r="J241" s="273">
        <v>23310</v>
      </c>
      <c r="K241" s="273">
        <v>0</v>
      </c>
      <c r="L241" s="273">
        <v>504273397</v>
      </c>
      <c r="M241" s="273">
        <f t="shared" si="2"/>
        <v>12606835</v>
      </c>
      <c r="N241" s="273">
        <v>0</v>
      </c>
      <c r="P241" s="11"/>
    </row>
    <row r="242" spans="5:16" hidden="1">
      <c r="E242" s="272"/>
      <c r="F242" s="273" t="s">
        <v>458</v>
      </c>
      <c r="G242" s="273">
        <v>194</v>
      </c>
      <c r="H242" s="273">
        <v>1499033</v>
      </c>
      <c r="I242" s="273">
        <v>0</v>
      </c>
      <c r="J242" s="273">
        <v>28329</v>
      </c>
      <c r="K242" s="273">
        <v>0</v>
      </c>
      <c r="L242" s="273">
        <v>105899992</v>
      </c>
      <c r="M242" s="273">
        <f t="shared" ref="M242:M305" si="3">ROUND(L242*0.025,0)</f>
        <v>2647500</v>
      </c>
      <c r="N242" s="273">
        <v>0</v>
      </c>
      <c r="P242" s="11"/>
    </row>
    <row r="243" spans="5:16" hidden="1">
      <c r="E243" s="272"/>
      <c r="F243" s="273" t="s">
        <v>459</v>
      </c>
      <c r="G243" s="273">
        <v>195</v>
      </c>
      <c r="H243" s="273">
        <v>529526</v>
      </c>
      <c r="I243" s="273">
        <v>0</v>
      </c>
      <c r="J243" s="273">
        <v>3891</v>
      </c>
      <c r="K243" s="273">
        <v>0</v>
      </c>
      <c r="L243" s="273">
        <v>83231659</v>
      </c>
      <c r="M243" s="273">
        <f t="shared" si="3"/>
        <v>2080791</v>
      </c>
      <c r="N243" s="273">
        <v>0</v>
      </c>
      <c r="P243" s="11"/>
    </row>
    <row r="244" spans="5:16" hidden="1">
      <c r="E244" s="272"/>
      <c r="F244" s="273" t="s">
        <v>460</v>
      </c>
      <c r="G244" s="273">
        <v>196</v>
      </c>
      <c r="H244" s="273">
        <v>7560060</v>
      </c>
      <c r="I244" s="273">
        <v>289</v>
      </c>
      <c r="J244" s="273">
        <v>48941</v>
      </c>
      <c r="K244" s="273">
        <v>0</v>
      </c>
      <c r="L244" s="273">
        <v>809424570</v>
      </c>
      <c r="M244" s="273">
        <f t="shared" si="3"/>
        <v>20235614</v>
      </c>
      <c r="N244" s="273">
        <v>0</v>
      </c>
      <c r="P244" s="11"/>
    </row>
    <row r="245" spans="5:16" hidden="1">
      <c r="E245" s="272"/>
      <c r="F245" s="273" t="s">
        <v>461</v>
      </c>
      <c r="G245" s="273">
        <v>197</v>
      </c>
      <c r="H245" s="273">
        <v>63083855</v>
      </c>
      <c r="I245" s="273">
        <v>0</v>
      </c>
      <c r="J245" s="273">
        <v>1140085</v>
      </c>
      <c r="K245" s="273">
        <v>0</v>
      </c>
      <c r="L245" s="273">
        <v>20544013596</v>
      </c>
      <c r="M245" s="273">
        <f t="shared" si="3"/>
        <v>513600340</v>
      </c>
      <c r="N245" s="273">
        <v>0</v>
      </c>
      <c r="P245" s="11"/>
    </row>
    <row r="246" spans="5:16" hidden="1">
      <c r="E246" s="272"/>
      <c r="F246" s="273" t="s">
        <v>462</v>
      </c>
      <c r="G246" s="273">
        <v>198</v>
      </c>
      <c r="H246" s="273">
        <v>92549664</v>
      </c>
      <c r="I246" s="273">
        <v>0</v>
      </c>
      <c r="J246" s="273">
        <v>741229</v>
      </c>
      <c r="K246" s="273">
        <v>0</v>
      </c>
      <c r="L246" s="273">
        <v>7355714270</v>
      </c>
      <c r="M246" s="273">
        <f t="shared" si="3"/>
        <v>183892857</v>
      </c>
      <c r="N246" s="273">
        <v>0</v>
      </c>
      <c r="P246" s="11"/>
    </row>
    <row r="247" spans="5:16" hidden="1">
      <c r="E247" s="272"/>
      <c r="F247" s="273" t="s">
        <v>463</v>
      </c>
      <c r="G247" s="273">
        <v>199</v>
      </c>
      <c r="H247" s="273">
        <v>106870366</v>
      </c>
      <c r="I247" s="273">
        <v>2120</v>
      </c>
      <c r="J247" s="273">
        <v>3684955</v>
      </c>
      <c r="K247" s="273">
        <v>0</v>
      </c>
      <c r="L247" s="273">
        <v>9068188822</v>
      </c>
      <c r="M247" s="273">
        <f t="shared" si="3"/>
        <v>226704721</v>
      </c>
      <c r="N247" s="273">
        <v>0</v>
      </c>
      <c r="P247" s="11"/>
    </row>
    <row r="248" spans="5:16" hidden="1">
      <c r="E248" s="272"/>
      <c r="F248" s="273" t="s">
        <v>464</v>
      </c>
      <c r="G248" s="273">
        <v>200</v>
      </c>
      <c r="H248" s="273">
        <v>433734</v>
      </c>
      <c r="I248" s="273">
        <v>0</v>
      </c>
      <c r="J248" s="273">
        <v>4016</v>
      </c>
      <c r="K248" s="273">
        <v>0</v>
      </c>
      <c r="L248" s="273">
        <v>40934800</v>
      </c>
      <c r="M248" s="273">
        <f t="shared" si="3"/>
        <v>1023370</v>
      </c>
      <c r="N248" s="273">
        <v>0</v>
      </c>
      <c r="P248" s="11"/>
    </row>
    <row r="249" spans="5:16" hidden="1">
      <c r="E249" s="272"/>
      <c r="F249" s="273" t="s">
        <v>465</v>
      </c>
      <c r="G249" s="273">
        <v>201</v>
      </c>
      <c r="H249" s="273">
        <v>110181767</v>
      </c>
      <c r="I249" s="273">
        <v>0</v>
      </c>
      <c r="J249" s="273">
        <v>1201719</v>
      </c>
      <c r="K249" s="273">
        <v>0</v>
      </c>
      <c r="L249" s="273">
        <v>5334989630</v>
      </c>
      <c r="M249" s="273">
        <f t="shared" si="3"/>
        <v>133374741</v>
      </c>
      <c r="N249" s="273">
        <v>0</v>
      </c>
      <c r="P249" s="11"/>
    </row>
    <row r="250" spans="5:16" hidden="1">
      <c r="E250" s="272"/>
      <c r="F250" s="273" t="s">
        <v>466</v>
      </c>
      <c r="G250" s="273">
        <v>202</v>
      </c>
      <c r="H250" s="273">
        <v>1716243</v>
      </c>
      <c r="I250" s="273">
        <v>0</v>
      </c>
      <c r="J250" s="273">
        <v>11660</v>
      </c>
      <c r="K250" s="273">
        <v>0</v>
      </c>
      <c r="L250" s="273">
        <v>105051471</v>
      </c>
      <c r="M250" s="273">
        <f t="shared" si="3"/>
        <v>2626287</v>
      </c>
      <c r="N250" s="273">
        <v>0</v>
      </c>
      <c r="P250" s="11"/>
    </row>
    <row r="251" spans="5:16" hidden="1">
      <c r="E251" s="272"/>
      <c r="F251" s="273" t="s">
        <v>467</v>
      </c>
      <c r="G251" s="273">
        <v>203</v>
      </c>
      <c r="H251" s="273">
        <v>4356629</v>
      </c>
      <c r="I251" s="273">
        <v>0</v>
      </c>
      <c r="J251" s="273">
        <v>30795</v>
      </c>
      <c r="K251" s="273">
        <v>0</v>
      </c>
      <c r="L251" s="273">
        <v>485264620</v>
      </c>
      <c r="M251" s="273">
        <f t="shared" si="3"/>
        <v>12131616</v>
      </c>
      <c r="N251" s="273">
        <v>0</v>
      </c>
      <c r="P251" s="11"/>
    </row>
    <row r="252" spans="5:16" hidden="1">
      <c r="E252" s="272"/>
      <c r="F252" s="273" t="s">
        <v>468</v>
      </c>
      <c r="G252" s="273">
        <v>204</v>
      </c>
      <c r="H252" s="273">
        <v>1736589</v>
      </c>
      <c r="I252" s="273">
        <v>0</v>
      </c>
      <c r="J252" s="273">
        <v>13729</v>
      </c>
      <c r="K252" s="273">
        <v>0</v>
      </c>
      <c r="L252" s="273">
        <v>105213647</v>
      </c>
      <c r="M252" s="273">
        <f t="shared" si="3"/>
        <v>2630341</v>
      </c>
      <c r="N252" s="273">
        <v>0</v>
      </c>
      <c r="P252" s="11"/>
    </row>
    <row r="253" spans="5:16" hidden="1">
      <c r="E253" s="272"/>
      <c r="F253" s="273" t="s">
        <v>469</v>
      </c>
      <c r="G253" s="273">
        <v>205</v>
      </c>
      <c r="H253" s="273">
        <v>13655601</v>
      </c>
      <c r="I253" s="273">
        <v>1255</v>
      </c>
      <c r="J253" s="273">
        <v>149557</v>
      </c>
      <c r="K253" s="273">
        <v>125000</v>
      </c>
      <c r="L253" s="273">
        <v>1315963077</v>
      </c>
      <c r="M253" s="273">
        <f t="shared" si="3"/>
        <v>32899077</v>
      </c>
      <c r="N253" s="273">
        <v>0</v>
      </c>
      <c r="P253" s="11"/>
    </row>
    <row r="254" spans="5:16" hidden="1">
      <c r="E254" s="272"/>
      <c r="F254" s="273" t="s">
        <v>470</v>
      </c>
      <c r="G254" s="273">
        <v>206</v>
      </c>
      <c r="H254" s="273">
        <v>46062191</v>
      </c>
      <c r="I254" s="273">
        <v>0</v>
      </c>
      <c r="J254" s="273">
        <v>633895</v>
      </c>
      <c r="K254" s="273">
        <v>0</v>
      </c>
      <c r="L254" s="273">
        <v>3765130445</v>
      </c>
      <c r="M254" s="273">
        <f t="shared" si="3"/>
        <v>94128261</v>
      </c>
      <c r="N254" s="273">
        <v>0</v>
      </c>
      <c r="P254" s="11"/>
    </row>
    <row r="255" spans="5:16" hidden="1">
      <c r="E255" s="272"/>
      <c r="F255" s="273" t="s">
        <v>471</v>
      </c>
      <c r="G255" s="273">
        <v>207</v>
      </c>
      <c r="H255" s="273">
        <v>291627432</v>
      </c>
      <c r="I255" s="273">
        <v>0</v>
      </c>
      <c r="J255" s="273">
        <v>5136645</v>
      </c>
      <c r="K255" s="273">
        <v>0</v>
      </c>
      <c r="L255" s="273">
        <v>24321818000</v>
      </c>
      <c r="M255" s="273">
        <f t="shared" si="3"/>
        <v>608045450</v>
      </c>
      <c r="N255" s="273">
        <v>0</v>
      </c>
      <c r="P255" s="11"/>
    </row>
    <row r="256" spans="5:16" hidden="1">
      <c r="E256" s="272"/>
      <c r="F256" s="273" t="s">
        <v>472</v>
      </c>
      <c r="G256" s="273">
        <v>208</v>
      </c>
      <c r="H256" s="273">
        <v>24919060</v>
      </c>
      <c r="I256" s="273">
        <v>0</v>
      </c>
      <c r="J256" s="273">
        <v>690537</v>
      </c>
      <c r="K256" s="273">
        <v>0</v>
      </c>
      <c r="L256" s="273">
        <v>1590992453</v>
      </c>
      <c r="M256" s="273">
        <f t="shared" si="3"/>
        <v>39774811</v>
      </c>
      <c r="N256" s="273">
        <v>0</v>
      </c>
      <c r="P256" s="11"/>
    </row>
    <row r="257" spans="5:16" hidden="1">
      <c r="E257" s="272"/>
      <c r="F257" s="273" t="s">
        <v>473</v>
      </c>
      <c r="G257" s="273">
        <v>209</v>
      </c>
      <c r="H257" s="273">
        <v>15019976</v>
      </c>
      <c r="I257" s="273">
        <v>0</v>
      </c>
      <c r="J257" s="273">
        <v>350248</v>
      </c>
      <c r="K257" s="273">
        <v>0</v>
      </c>
      <c r="L257" s="273">
        <v>709233263</v>
      </c>
      <c r="M257" s="273">
        <f t="shared" si="3"/>
        <v>17730832</v>
      </c>
      <c r="N257" s="273">
        <v>0</v>
      </c>
      <c r="P257" s="11"/>
    </row>
    <row r="258" spans="5:16" hidden="1">
      <c r="E258" s="272"/>
      <c r="F258" s="273" t="s">
        <v>474</v>
      </c>
      <c r="G258" s="273">
        <v>210</v>
      </c>
      <c r="H258" s="273">
        <v>64297287</v>
      </c>
      <c r="I258" s="273">
        <v>0</v>
      </c>
      <c r="J258" s="273">
        <v>630615</v>
      </c>
      <c r="K258" s="273">
        <v>0</v>
      </c>
      <c r="L258" s="273">
        <v>4459036465</v>
      </c>
      <c r="M258" s="273">
        <f t="shared" si="3"/>
        <v>111475912</v>
      </c>
      <c r="N258" s="273">
        <v>0</v>
      </c>
      <c r="P258" s="11"/>
    </row>
    <row r="259" spans="5:16" hidden="1">
      <c r="E259" s="272"/>
      <c r="F259" s="273" t="s">
        <v>475</v>
      </c>
      <c r="G259" s="273">
        <v>211</v>
      </c>
      <c r="H259" s="273">
        <v>45350568</v>
      </c>
      <c r="I259" s="273">
        <v>0</v>
      </c>
      <c r="J259" s="273">
        <v>316985</v>
      </c>
      <c r="K259" s="273">
        <v>0</v>
      </c>
      <c r="L259" s="273">
        <v>3575099940</v>
      </c>
      <c r="M259" s="273">
        <f t="shared" si="3"/>
        <v>89377499</v>
      </c>
      <c r="N259" s="273">
        <v>0</v>
      </c>
      <c r="P259" s="11"/>
    </row>
    <row r="260" spans="5:16" hidden="1">
      <c r="E260" s="272"/>
      <c r="F260" s="273" t="s">
        <v>476</v>
      </c>
      <c r="G260" s="273">
        <v>212</v>
      </c>
      <c r="H260" s="273">
        <v>5011761</v>
      </c>
      <c r="I260" s="273">
        <v>0</v>
      </c>
      <c r="J260" s="273">
        <v>87879</v>
      </c>
      <c r="K260" s="273">
        <v>0</v>
      </c>
      <c r="L260" s="273">
        <v>379845736</v>
      </c>
      <c r="M260" s="273">
        <f t="shared" si="3"/>
        <v>9496143</v>
      </c>
      <c r="N260" s="273">
        <v>0</v>
      </c>
      <c r="P260" s="11"/>
    </row>
    <row r="261" spans="5:16" hidden="1">
      <c r="E261" s="272"/>
      <c r="F261" s="273" t="s">
        <v>477</v>
      </c>
      <c r="G261" s="273">
        <v>213</v>
      </c>
      <c r="H261" s="273">
        <v>37972765</v>
      </c>
      <c r="I261" s="273">
        <v>0</v>
      </c>
      <c r="J261" s="273">
        <v>624281</v>
      </c>
      <c r="K261" s="273">
        <v>0</v>
      </c>
      <c r="L261" s="273">
        <v>2792045352</v>
      </c>
      <c r="M261" s="273">
        <f t="shared" si="3"/>
        <v>69801134</v>
      </c>
      <c r="N261" s="273">
        <v>0</v>
      </c>
      <c r="P261" s="11"/>
    </row>
    <row r="262" spans="5:16" hidden="1">
      <c r="E262" s="272"/>
      <c r="F262" s="273" t="s">
        <v>478</v>
      </c>
      <c r="G262" s="273">
        <v>214</v>
      </c>
      <c r="H262" s="273">
        <v>50197851</v>
      </c>
      <c r="I262" s="273">
        <v>0</v>
      </c>
      <c r="J262" s="273">
        <v>938241</v>
      </c>
      <c r="K262" s="273">
        <v>0</v>
      </c>
      <c r="L262" s="273">
        <v>3288386760</v>
      </c>
      <c r="M262" s="273">
        <f t="shared" si="3"/>
        <v>82209669</v>
      </c>
      <c r="N262" s="273">
        <v>0</v>
      </c>
      <c r="P262" s="11"/>
    </row>
    <row r="263" spans="5:16" hidden="1">
      <c r="E263" s="272"/>
      <c r="F263" s="273" t="s">
        <v>479</v>
      </c>
      <c r="G263" s="273">
        <v>215</v>
      </c>
      <c r="H263" s="273">
        <v>43891045</v>
      </c>
      <c r="I263" s="273">
        <v>0</v>
      </c>
      <c r="J263" s="273">
        <v>529520</v>
      </c>
      <c r="K263" s="273">
        <v>0</v>
      </c>
      <c r="L263" s="273">
        <v>2624863105</v>
      </c>
      <c r="M263" s="273">
        <f t="shared" si="3"/>
        <v>65621578</v>
      </c>
      <c r="N263" s="273">
        <v>0</v>
      </c>
      <c r="P263" s="11"/>
    </row>
    <row r="264" spans="5:16" hidden="1">
      <c r="E264" s="272"/>
      <c r="F264" s="273" t="s">
        <v>480</v>
      </c>
      <c r="G264" s="273">
        <v>216</v>
      </c>
      <c r="H264" s="273">
        <v>18380307</v>
      </c>
      <c r="I264" s="273">
        <v>0</v>
      </c>
      <c r="J264" s="273">
        <v>319360</v>
      </c>
      <c r="K264" s="273">
        <v>0</v>
      </c>
      <c r="L264" s="273">
        <v>1448080087</v>
      </c>
      <c r="M264" s="273">
        <f t="shared" si="3"/>
        <v>36202002</v>
      </c>
      <c r="N264" s="273">
        <v>0</v>
      </c>
      <c r="P264" s="11"/>
    </row>
    <row r="265" spans="5:16" hidden="1">
      <c r="E265" s="272"/>
      <c r="F265" s="273" t="s">
        <v>481</v>
      </c>
      <c r="G265" s="273">
        <v>217</v>
      </c>
      <c r="H265" s="273">
        <v>6610168</v>
      </c>
      <c r="I265" s="273">
        <v>0</v>
      </c>
      <c r="J265" s="273">
        <v>204123</v>
      </c>
      <c r="K265" s="273">
        <v>0</v>
      </c>
      <c r="L265" s="273">
        <v>454269875</v>
      </c>
      <c r="M265" s="273">
        <f t="shared" si="3"/>
        <v>11356747</v>
      </c>
      <c r="N265" s="273">
        <v>0</v>
      </c>
      <c r="P265" s="11"/>
    </row>
    <row r="266" spans="5:16" hidden="1">
      <c r="E266" s="272"/>
      <c r="F266" s="273" t="s">
        <v>482</v>
      </c>
      <c r="G266" s="273">
        <v>218</v>
      </c>
      <c r="H266" s="273">
        <v>30299731</v>
      </c>
      <c r="I266" s="273">
        <v>0</v>
      </c>
      <c r="J266" s="273">
        <v>436005</v>
      </c>
      <c r="K266" s="273">
        <v>0</v>
      </c>
      <c r="L266" s="273">
        <v>2085583620</v>
      </c>
      <c r="M266" s="273">
        <f t="shared" si="3"/>
        <v>52139591</v>
      </c>
      <c r="N266" s="273">
        <v>0</v>
      </c>
      <c r="P266" s="11"/>
    </row>
    <row r="267" spans="5:16" hidden="1">
      <c r="E267" s="272"/>
      <c r="F267" s="273" t="s">
        <v>483</v>
      </c>
      <c r="G267" s="273">
        <v>219</v>
      </c>
      <c r="H267" s="273">
        <v>37127157</v>
      </c>
      <c r="I267" s="273">
        <v>0</v>
      </c>
      <c r="J267" s="273">
        <v>549794</v>
      </c>
      <c r="K267" s="273">
        <v>0</v>
      </c>
      <c r="L267" s="273">
        <v>2434057591</v>
      </c>
      <c r="M267" s="273">
        <f t="shared" si="3"/>
        <v>60851440</v>
      </c>
      <c r="N267" s="273">
        <v>0</v>
      </c>
      <c r="P267" s="11"/>
    </row>
    <row r="268" spans="5:16" hidden="1">
      <c r="E268" s="272"/>
      <c r="F268" s="273" t="s">
        <v>484</v>
      </c>
      <c r="G268" s="273">
        <v>220</v>
      </c>
      <c r="H268" s="273">
        <v>62846997</v>
      </c>
      <c r="I268" s="273">
        <v>0</v>
      </c>
      <c r="J268" s="273">
        <v>901240</v>
      </c>
      <c r="K268" s="273">
        <v>0</v>
      </c>
      <c r="L268" s="273">
        <v>4716133522</v>
      </c>
      <c r="M268" s="273">
        <f t="shared" si="3"/>
        <v>117903338</v>
      </c>
      <c r="N268" s="273">
        <v>0</v>
      </c>
      <c r="P268" s="11"/>
    </row>
    <row r="269" spans="5:16" hidden="1">
      <c r="E269" s="272"/>
      <c r="F269" s="273" t="s">
        <v>485</v>
      </c>
      <c r="G269" s="273">
        <v>221</v>
      </c>
      <c r="H269" s="273">
        <v>19408891</v>
      </c>
      <c r="I269" s="273">
        <v>0</v>
      </c>
      <c r="J269" s="273">
        <v>170361</v>
      </c>
      <c r="K269" s="273">
        <v>0</v>
      </c>
      <c r="L269" s="273">
        <v>2671835130</v>
      </c>
      <c r="M269" s="273">
        <f t="shared" si="3"/>
        <v>66795878</v>
      </c>
      <c r="N269" s="273">
        <v>0</v>
      </c>
      <c r="P269" s="11"/>
    </row>
    <row r="270" spans="5:16" hidden="1">
      <c r="E270" s="272"/>
      <c r="F270" s="273" t="s">
        <v>486</v>
      </c>
      <c r="G270" s="273">
        <v>222</v>
      </c>
      <c r="H270" s="273">
        <v>2464075</v>
      </c>
      <c r="I270" s="273">
        <v>0</v>
      </c>
      <c r="J270" s="273">
        <v>14654</v>
      </c>
      <c r="K270" s="273">
        <v>0</v>
      </c>
      <c r="L270" s="273">
        <v>190647859</v>
      </c>
      <c r="M270" s="273">
        <f t="shared" si="3"/>
        <v>4766196</v>
      </c>
      <c r="N270" s="273">
        <v>0</v>
      </c>
      <c r="P270" s="11"/>
    </row>
    <row r="271" spans="5:16" hidden="1">
      <c r="E271" s="272"/>
      <c r="F271" s="273" t="s">
        <v>487</v>
      </c>
      <c r="G271" s="273">
        <v>223</v>
      </c>
      <c r="H271" s="273">
        <v>9760692</v>
      </c>
      <c r="I271" s="273">
        <v>0</v>
      </c>
      <c r="J271" s="273">
        <v>83456</v>
      </c>
      <c r="K271" s="273">
        <v>0</v>
      </c>
      <c r="L271" s="273">
        <v>473091024</v>
      </c>
      <c r="M271" s="273">
        <f t="shared" si="3"/>
        <v>11827276</v>
      </c>
      <c r="N271" s="273">
        <v>0</v>
      </c>
      <c r="P271" s="11"/>
    </row>
    <row r="272" spans="5:16" hidden="1">
      <c r="E272" s="272"/>
      <c r="F272" s="273" t="s">
        <v>488</v>
      </c>
      <c r="G272" s="273">
        <v>224</v>
      </c>
      <c r="H272" s="273">
        <v>20989068</v>
      </c>
      <c r="I272" s="273">
        <v>0</v>
      </c>
      <c r="J272" s="273">
        <v>224992</v>
      </c>
      <c r="K272" s="273">
        <v>0</v>
      </c>
      <c r="L272" s="273">
        <v>3727103110</v>
      </c>
      <c r="M272" s="273">
        <f t="shared" si="3"/>
        <v>93177578</v>
      </c>
      <c r="N272" s="273">
        <v>0</v>
      </c>
      <c r="P272" s="11"/>
    </row>
    <row r="273" spans="5:16" hidden="1">
      <c r="E273" s="272"/>
      <c r="F273" s="273" t="s">
        <v>489</v>
      </c>
      <c r="G273" s="273">
        <v>225</v>
      </c>
      <c r="H273" s="273">
        <v>4551828</v>
      </c>
      <c r="I273" s="273">
        <v>0</v>
      </c>
      <c r="J273" s="273">
        <v>32847</v>
      </c>
      <c r="K273" s="273">
        <v>0</v>
      </c>
      <c r="L273" s="273">
        <v>608324038</v>
      </c>
      <c r="M273" s="273">
        <f t="shared" si="3"/>
        <v>15208101</v>
      </c>
      <c r="N273" s="273">
        <v>0</v>
      </c>
      <c r="P273" s="11"/>
    </row>
    <row r="274" spans="5:16" hidden="1">
      <c r="E274" s="272"/>
      <c r="F274" s="273" t="s">
        <v>490</v>
      </c>
      <c r="G274" s="273">
        <v>226</v>
      </c>
      <c r="H274" s="273">
        <v>19494796</v>
      </c>
      <c r="I274" s="273">
        <v>0</v>
      </c>
      <c r="J274" s="273">
        <v>288482</v>
      </c>
      <c r="K274" s="273">
        <v>0</v>
      </c>
      <c r="L274" s="273">
        <v>1273705685</v>
      </c>
      <c r="M274" s="273">
        <f t="shared" si="3"/>
        <v>31842642</v>
      </c>
      <c r="N274" s="273">
        <v>0</v>
      </c>
      <c r="P274" s="11"/>
    </row>
    <row r="275" spans="5:16" hidden="1">
      <c r="E275" s="272"/>
      <c r="F275" s="273" t="s">
        <v>491</v>
      </c>
      <c r="G275" s="273">
        <v>227</v>
      </c>
      <c r="H275" s="273">
        <v>16524998</v>
      </c>
      <c r="I275" s="273">
        <v>0</v>
      </c>
      <c r="J275" s="273">
        <v>149841</v>
      </c>
      <c r="K275" s="273">
        <v>0</v>
      </c>
      <c r="L275" s="273">
        <v>886063743</v>
      </c>
      <c r="M275" s="273">
        <f t="shared" si="3"/>
        <v>22151594</v>
      </c>
      <c r="N275" s="273">
        <v>0</v>
      </c>
      <c r="P275" s="11"/>
    </row>
    <row r="276" spans="5:16" hidden="1">
      <c r="E276" s="272"/>
      <c r="F276" s="273" t="s">
        <v>492</v>
      </c>
      <c r="G276" s="273">
        <v>228</v>
      </c>
      <c r="H276" s="273">
        <v>8102525</v>
      </c>
      <c r="I276" s="273">
        <v>0</v>
      </c>
      <c r="J276" s="273">
        <v>71859</v>
      </c>
      <c r="K276" s="273">
        <v>0</v>
      </c>
      <c r="L276" s="273">
        <v>458470103</v>
      </c>
      <c r="M276" s="273">
        <f t="shared" si="3"/>
        <v>11461753</v>
      </c>
      <c r="N276" s="273">
        <v>0</v>
      </c>
      <c r="P276" s="11"/>
    </row>
    <row r="277" spans="5:16" hidden="1">
      <c r="E277" s="272"/>
      <c r="F277" s="273" t="s">
        <v>493</v>
      </c>
      <c r="G277" s="273">
        <v>229</v>
      </c>
      <c r="H277" s="273">
        <v>103360677</v>
      </c>
      <c r="I277" s="273">
        <v>42</v>
      </c>
      <c r="J277" s="273">
        <v>1119809</v>
      </c>
      <c r="K277" s="273">
        <v>0</v>
      </c>
      <c r="L277" s="273">
        <v>6750057897</v>
      </c>
      <c r="M277" s="273">
        <f t="shared" si="3"/>
        <v>168751447</v>
      </c>
      <c r="N277" s="273">
        <v>0</v>
      </c>
      <c r="P277" s="11"/>
    </row>
    <row r="278" spans="5:16" hidden="1">
      <c r="E278" s="272"/>
      <c r="F278" s="273" t="s">
        <v>494</v>
      </c>
      <c r="G278" s="273">
        <v>230</v>
      </c>
      <c r="H278" s="273">
        <v>3458868</v>
      </c>
      <c r="I278" s="273">
        <v>0</v>
      </c>
      <c r="J278" s="273">
        <v>30276</v>
      </c>
      <c r="K278" s="273">
        <v>0</v>
      </c>
      <c r="L278" s="273">
        <v>172092900</v>
      </c>
      <c r="M278" s="273">
        <f t="shared" si="3"/>
        <v>4302323</v>
      </c>
      <c r="N278" s="273">
        <v>0</v>
      </c>
      <c r="P278" s="11"/>
    </row>
    <row r="279" spans="5:16" hidden="1">
      <c r="E279" s="276"/>
      <c r="F279" s="273" t="s">
        <v>495</v>
      </c>
      <c r="G279" s="273">
        <v>231</v>
      </c>
      <c r="H279" s="273">
        <v>32826684</v>
      </c>
      <c r="I279" s="273">
        <v>0</v>
      </c>
      <c r="J279" s="273">
        <v>339032</v>
      </c>
      <c r="K279" s="273">
        <v>1300000</v>
      </c>
      <c r="L279" s="273">
        <v>2451943308</v>
      </c>
      <c r="M279" s="273">
        <f t="shared" si="3"/>
        <v>61298583</v>
      </c>
      <c r="N279" s="273">
        <v>0</v>
      </c>
      <c r="P279" s="11"/>
    </row>
    <row r="280" spans="5:16" hidden="1">
      <c r="E280" s="272"/>
      <c r="F280" s="273" t="s">
        <v>496</v>
      </c>
      <c r="G280" s="273">
        <v>232</v>
      </c>
      <c r="H280" s="273">
        <v>17079459</v>
      </c>
      <c r="I280" s="273">
        <v>0</v>
      </c>
      <c r="J280" s="273">
        <v>134912</v>
      </c>
      <c r="K280" s="273">
        <v>0</v>
      </c>
      <c r="L280" s="273">
        <v>1112450298</v>
      </c>
      <c r="M280" s="273">
        <f t="shared" si="3"/>
        <v>27811257</v>
      </c>
      <c r="N280" s="273">
        <v>0</v>
      </c>
      <c r="P280" s="11"/>
    </row>
    <row r="281" spans="5:16" hidden="1">
      <c r="E281" s="272"/>
      <c r="F281" s="273" t="s">
        <v>497</v>
      </c>
      <c r="G281" s="273">
        <v>233</v>
      </c>
      <c r="H281" s="273">
        <v>1778473</v>
      </c>
      <c r="I281" s="273">
        <v>0</v>
      </c>
      <c r="J281" s="273">
        <v>23925</v>
      </c>
      <c r="K281" s="273">
        <v>0</v>
      </c>
      <c r="L281" s="273">
        <v>86345909</v>
      </c>
      <c r="M281" s="273">
        <f t="shared" si="3"/>
        <v>2158648</v>
      </c>
      <c r="N281" s="273">
        <v>0</v>
      </c>
      <c r="P281" s="11"/>
    </row>
    <row r="282" spans="5:16" hidden="1">
      <c r="E282" s="272"/>
      <c r="F282" s="273" t="s">
        <v>498</v>
      </c>
      <c r="G282" s="273">
        <v>234</v>
      </c>
      <c r="H282" s="273">
        <v>2360625</v>
      </c>
      <c r="I282" s="273">
        <v>0</v>
      </c>
      <c r="J282" s="273">
        <v>12184</v>
      </c>
      <c r="K282" s="273">
        <v>0</v>
      </c>
      <c r="L282" s="273">
        <v>148656542</v>
      </c>
      <c r="M282" s="273">
        <f t="shared" si="3"/>
        <v>3716414</v>
      </c>
      <c r="N282" s="273">
        <v>0</v>
      </c>
      <c r="P282" s="11"/>
    </row>
    <row r="283" spans="5:16" hidden="1">
      <c r="E283" s="272"/>
      <c r="F283" s="273" t="s">
        <v>499</v>
      </c>
      <c r="G283" s="273">
        <v>235</v>
      </c>
      <c r="H283" s="273">
        <v>2849685</v>
      </c>
      <c r="I283" s="273">
        <v>0</v>
      </c>
      <c r="J283" s="273">
        <v>19629</v>
      </c>
      <c r="K283" s="273">
        <v>0</v>
      </c>
      <c r="L283" s="273">
        <v>182080026</v>
      </c>
      <c r="M283" s="273">
        <f t="shared" si="3"/>
        <v>4552001</v>
      </c>
      <c r="N283" s="273">
        <v>0</v>
      </c>
      <c r="P283" s="11"/>
    </row>
    <row r="284" spans="5:16" hidden="1">
      <c r="E284" s="272"/>
      <c r="F284" s="273" t="s">
        <v>500</v>
      </c>
      <c r="G284" s="273">
        <v>236</v>
      </c>
      <c r="H284" s="273">
        <v>81964865</v>
      </c>
      <c r="I284" s="273">
        <v>0</v>
      </c>
      <c r="J284" s="273">
        <v>1271090</v>
      </c>
      <c r="K284" s="273">
        <v>0</v>
      </c>
      <c r="L284" s="273">
        <v>3343164997</v>
      </c>
      <c r="M284" s="273">
        <f t="shared" si="3"/>
        <v>83579125</v>
      </c>
      <c r="N284" s="273">
        <v>0</v>
      </c>
      <c r="P284" s="11"/>
    </row>
    <row r="285" spans="5:16" hidden="1">
      <c r="E285" s="272"/>
      <c r="F285" s="273" t="s">
        <v>501</v>
      </c>
      <c r="G285" s="273">
        <v>237</v>
      </c>
      <c r="H285" s="273">
        <v>1465971</v>
      </c>
      <c r="I285" s="273">
        <v>0</v>
      </c>
      <c r="J285" s="273">
        <v>81234</v>
      </c>
      <c r="K285" s="273">
        <v>0</v>
      </c>
      <c r="L285" s="273">
        <v>85072947</v>
      </c>
      <c r="M285" s="273">
        <f t="shared" si="3"/>
        <v>2126824</v>
      </c>
      <c r="N285" s="273">
        <v>0</v>
      </c>
      <c r="P285" s="11"/>
    </row>
    <row r="286" spans="5:16" hidden="1">
      <c r="E286" s="272"/>
      <c r="F286" s="273" t="s">
        <v>502</v>
      </c>
      <c r="G286" s="273">
        <v>238</v>
      </c>
      <c r="H286" s="273">
        <v>17156867</v>
      </c>
      <c r="I286" s="273">
        <v>0</v>
      </c>
      <c r="J286" s="273">
        <v>1177366</v>
      </c>
      <c r="K286" s="273">
        <v>0</v>
      </c>
      <c r="L286" s="273">
        <v>1298251972</v>
      </c>
      <c r="M286" s="273">
        <f t="shared" si="3"/>
        <v>32456299</v>
      </c>
      <c r="N286" s="273">
        <v>0</v>
      </c>
      <c r="P286" s="11"/>
    </row>
    <row r="287" spans="5:16" hidden="1">
      <c r="E287" s="272"/>
      <c r="F287" s="273" t="s">
        <v>503</v>
      </c>
      <c r="G287" s="273">
        <v>239</v>
      </c>
      <c r="H287" s="273">
        <v>142002362</v>
      </c>
      <c r="I287" s="273">
        <v>0</v>
      </c>
      <c r="J287" s="273">
        <v>2871139</v>
      </c>
      <c r="K287" s="273">
        <v>0</v>
      </c>
      <c r="L287" s="273">
        <v>9128500223</v>
      </c>
      <c r="M287" s="273">
        <f t="shared" si="3"/>
        <v>228212506</v>
      </c>
      <c r="N287" s="273">
        <v>0</v>
      </c>
      <c r="P287" s="11"/>
    </row>
    <row r="288" spans="5:16" hidden="1">
      <c r="E288" s="272"/>
      <c r="F288" s="273" t="s">
        <v>504</v>
      </c>
      <c r="G288" s="273">
        <v>240</v>
      </c>
      <c r="H288" s="273">
        <v>8271331</v>
      </c>
      <c r="I288" s="273">
        <v>2169</v>
      </c>
      <c r="J288" s="273">
        <v>89141</v>
      </c>
      <c r="K288" s="273">
        <v>0</v>
      </c>
      <c r="L288" s="273">
        <v>480775399</v>
      </c>
      <c r="M288" s="273">
        <f t="shared" si="3"/>
        <v>12019385</v>
      </c>
      <c r="N288" s="273">
        <v>0</v>
      </c>
      <c r="P288" s="11"/>
    </row>
    <row r="289" spans="5:16" hidden="1">
      <c r="E289" s="276"/>
      <c r="F289" s="273" t="s">
        <v>505</v>
      </c>
      <c r="G289" s="273">
        <v>241</v>
      </c>
      <c r="H289" s="273">
        <v>8043997</v>
      </c>
      <c r="I289" s="273">
        <v>0</v>
      </c>
      <c r="J289" s="273">
        <v>21140</v>
      </c>
      <c r="K289" s="273">
        <v>0</v>
      </c>
      <c r="L289" s="273">
        <v>447855714</v>
      </c>
      <c r="M289" s="273">
        <f t="shared" si="3"/>
        <v>11196393</v>
      </c>
      <c r="N289" s="273">
        <v>0</v>
      </c>
      <c r="P289" s="11"/>
    </row>
    <row r="290" spans="5:16" hidden="1">
      <c r="E290" s="272"/>
      <c r="F290" s="273" t="s">
        <v>506</v>
      </c>
      <c r="G290" s="273">
        <v>242</v>
      </c>
      <c r="H290" s="273">
        <v>17359730</v>
      </c>
      <c r="I290" s="273">
        <v>2878</v>
      </c>
      <c r="J290" s="273">
        <v>165534</v>
      </c>
      <c r="K290" s="273">
        <v>0</v>
      </c>
      <c r="L290" s="273">
        <v>2587438370</v>
      </c>
      <c r="M290" s="273">
        <f t="shared" si="3"/>
        <v>64685959</v>
      </c>
      <c r="N290" s="273">
        <v>0</v>
      </c>
      <c r="P290" s="11"/>
    </row>
    <row r="291" spans="5:16" hidden="1">
      <c r="E291" s="272"/>
      <c r="F291" s="273" t="s">
        <v>507</v>
      </c>
      <c r="G291" s="273">
        <v>243</v>
      </c>
      <c r="H291" s="273">
        <v>217531004</v>
      </c>
      <c r="I291" s="273">
        <v>60737</v>
      </c>
      <c r="J291" s="273">
        <v>2105938</v>
      </c>
      <c r="K291" s="273">
        <v>0</v>
      </c>
      <c r="L291" s="273">
        <v>12019197110</v>
      </c>
      <c r="M291" s="273">
        <f t="shared" si="3"/>
        <v>300479928</v>
      </c>
      <c r="N291" s="273">
        <v>0</v>
      </c>
      <c r="P291" s="11"/>
    </row>
    <row r="292" spans="5:16" hidden="1">
      <c r="E292" s="272"/>
      <c r="F292" s="273" t="s">
        <v>508</v>
      </c>
      <c r="G292" s="273">
        <v>244</v>
      </c>
      <c r="H292" s="273">
        <v>54440479</v>
      </c>
      <c r="I292" s="273">
        <v>6252</v>
      </c>
      <c r="J292" s="273">
        <v>395759</v>
      </c>
      <c r="K292" s="273">
        <v>0</v>
      </c>
      <c r="L292" s="273">
        <v>2889883245</v>
      </c>
      <c r="M292" s="273">
        <f t="shared" si="3"/>
        <v>72247081</v>
      </c>
      <c r="N292" s="273">
        <v>0</v>
      </c>
      <c r="P292" s="11"/>
    </row>
    <row r="293" spans="5:16" hidden="1">
      <c r="E293" s="272"/>
      <c r="F293" s="273" t="s">
        <v>509</v>
      </c>
      <c r="G293" s="273">
        <v>245</v>
      </c>
      <c r="H293" s="273">
        <v>28885420</v>
      </c>
      <c r="I293" s="273">
        <v>0</v>
      </c>
      <c r="J293" s="273">
        <v>646553</v>
      </c>
      <c r="K293" s="273">
        <v>0</v>
      </c>
      <c r="L293" s="273">
        <v>1945571977</v>
      </c>
      <c r="M293" s="273">
        <f t="shared" si="3"/>
        <v>48639299</v>
      </c>
      <c r="N293" s="273">
        <v>0</v>
      </c>
      <c r="P293" s="11"/>
    </row>
    <row r="294" spans="5:16" hidden="1">
      <c r="E294" s="272"/>
      <c r="F294" s="273" t="s">
        <v>510</v>
      </c>
      <c r="G294" s="273">
        <v>246</v>
      </c>
      <c r="H294" s="273">
        <v>57353223</v>
      </c>
      <c r="I294" s="273">
        <v>0</v>
      </c>
      <c r="J294" s="273">
        <v>912485</v>
      </c>
      <c r="K294" s="273">
        <v>0</v>
      </c>
      <c r="L294" s="273">
        <v>4309708047</v>
      </c>
      <c r="M294" s="273">
        <f t="shared" si="3"/>
        <v>107742701</v>
      </c>
      <c r="N294" s="273">
        <v>0</v>
      </c>
      <c r="P294" s="11"/>
    </row>
    <row r="295" spans="5:16" hidden="1">
      <c r="E295" s="272"/>
      <c r="F295" s="273" t="s">
        <v>511</v>
      </c>
      <c r="G295" s="273">
        <v>247</v>
      </c>
      <c r="H295" s="273">
        <v>19182021</v>
      </c>
      <c r="I295" s="273">
        <v>0</v>
      </c>
      <c r="J295" s="273">
        <v>267701</v>
      </c>
      <c r="K295" s="273">
        <v>0</v>
      </c>
      <c r="L295" s="273">
        <v>1669652368</v>
      </c>
      <c r="M295" s="273">
        <f t="shared" si="3"/>
        <v>41741309</v>
      </c>
      <c r="N295" s="273">
        <v>0</v>
      </c>
      <c r="P295" s="11"/>
    </row>
    <row r="296" spans="5:16" hidden="1">
      <c r="E296" s="272"/>
      <c r="F296" s="273" t="s">
        <v>512</v>
      </c>
      <c r="G296" s="273">
        <v>248</v>
      </c>
      <c r="H296" s="273">
        <v>72494502</v>
      </c>
      <c r="I296" s="273">
        <v>0</v>
      </c>
      <c r="J296" s="273">
        <v>1248890</v>
      </c>
      <c r="K296" s="273">
        <v>0</v>
      </c>
      <c r="L296" s="273">
        <v>4606033831</v>
      </c>
      <c r="M296" s="273">
        <f t="shared" si="3"/>
        <v>115150846</v>
      </c>
      <c r="N296" s="273">
        <v>0</v>
      </c>
      <c r="P296" s="11"/>
    </row>
    <row r="297" spans="5:16" hidden="1">
      <c r="E297" s="272"/>
      <c r="F297" s="273" t="s">
        <v>513</v>
      </c>
      <c r="G297" s="273">
        <v>249</v>
      </c>
      <c r="H297" s="273">
        <v>4488072</v>
      </c>
      <c r="I297" s="273">
        <v>0</v>
      </c>
      <c r="J297" s="273">
        <v>33427</v>
      </c>
      <c r="K297" s="273">
        <v>0</v>
      </c>
      <c r="L297" s="273">
        <v>409000588</v>
      </c>
      <c r="M297" s="273">
        <f t="shared" si="3"/>
        <v>10225015</v>
      </c>
      <c r="N297" s="273">
        <v>0</v>
      </c>
      <c r="P297" s="11"/>
    </row>
    <row r="298" spans="5:16" hidden="1">
      <c r="E298" s="272"/>
      <c r="F298" s="273" t="s">
        <v>514</v>
      </c>
      <c r="G298" s="273">
        <v>250</v>
      </c>
      <c r="H298" s="273">
        <v>10071990</v>
      </c>
      <c r="I298" s="273">
        <v>0</v>
      </c>
      <c r="J298" s="273">
        <v>190794</v>
      </c>
      <c r="K298" s="273">
        <v>0</v>
      </c>
      <c r="L298" s="273">
        <v>847447100</v>
      </c>
      <c r="M298" s="273">
        <f t="shared" si="3"/>
        <v>21186178</v>
      </c>
      <c r="N298" s="273">
        <v>0</v>
      </c>
      <c r="P298" s="11"/>
    </row>
    <row r="299" spans="5:16" hidden="1">
      <c r="E299" s="276"/>
      <c r="F299" s="273" t="s">
        <v>515</v>
      </c>
      <c r="G299" s="273">
        <v>251</v>
      </c>
      <c r="H299" s="273">
        <v>29118354</v>
      </c>
      <c r="I299" s="273">
        <v>0</v>
      </c>
      <c r="J299" s="273">
        <v>756711</v>
      </c>
      <c r="K299" s="273">
        <v>0</v>
      </c>
      <c r="L299" s="273">
        <v>1823561580</v>
      </c>
      <c r="M299" s="273">
        <f t="shared" si="3"/>
        <v>45589040</v>
      </c>
      <c r="N299" s="273">
        <v>0</v>
      </c>
      <c r="P299" s="11"/>
    </row>
    <row r="300" spans="5:16" hidden="1">
      <c r="E300" s="272"/>
      <c r="F300" s="273" t="s">
        <v>516</v>
      </c>
      <c r="G300" s="273">
        <v>252</v>
      </c>
      <c r="H300" s="273">
        <v>19227812</v>
      </c>
      <c r="I300" s="273">
        <v>16174</v>
      </c>
      <c r="J300" s="273">
        <v>135571</v>
      </c>
      <c r="K300" s="273">
        <v>0</v>
      </c>
      <c r="L300" s="273">
        <v>1829077180</v>
      </c>
      <c r="M300" s="273">
        <f t="shared" si="3"/>
        <v>45726930</v>
      </c>
      <c r="N300" s="273">
        <v>0</v>
      </c>
      <c r="P300" s="11"/>
    </row>
    <row r="301" spans="5:16" hidden="1">
      <c r="E301" s="272"/>
      <c r="F301" s="273" t="s">
        <v>517</v>
      </c>
      <c r="G301" s="273">
        <v>253</v>
      </c>
      <c r="H301" s="273">
        <v>3243190</v>
      </c>
      <c r="I301" s="273">
        <v>0</v>
      </c>
      <c r="J301" s="273">
        <v>44699</v>
      </c>
      <c r="K301" s="273">
        <v>0</v>
      </c>
      <c r="L301" s="273">
        <v>294751591</v>
      </c>
      <c r="M301" s="273">
        <f t="shared" si="3"/>
        <v>7368790</v>
      </c>
      <c r="N301" s="273">
        <v>0</v>
      </c>
      <c r="P301" s="11"/>
    </row>
    <row r="302" spans="5:16" hidden="1">
      <c r="E302" s="272"/>
      <c r="F302" s="273" t="s">
        <v>518</v>
      </c>
      <c r="G302" s="273">
        <v>254</v>
      </c>
      <c r="H302" s="273">
        <v>12693046</v>
      </c>
      <c r="I302" s="273">
        <v>0</v>
      </c>
      <c r="J302" s="273">
        <v>183627</v>
      </c>
      <c r="K302" s="273">
        <v>0</v>
      </c>
      <c r="L302" s="273">
        <v>952274558</v>
      </c>
      <c r="M302" s="273">
        <f t="shared" si="3"/>
        <v>23806864</v>
      </c>
      <c r="N302" s="273">
        <v>0</v>
      </c>
      <c r="P302" s="11"/>
    </row>
    <row r="303" spans="5:16" hidden="1">
      <c r="E303" s="276"/>
      <c r="F303" s="273" t="s">
        <v>519</v>
      </c>
      <c r="G303" s="273">
        <v>255</v>
      </c>
      <c r="H303" s="273">
        <v>1461114</v>
      </c>
      <c r="I303" s="273">
        <v>0</v>
      </c>
      <c r="J303" s="273">
        <v>12205</v>
      </c>
      <c r="K303" s="273">
        <v>0</v>
      </c>
      <c r="L303" s="273">
        <v>119521579</v>
      </c>
      <c r="M303" s="273">
        <f t="shared" si="3"/>
        <v>2988039</v>
      </c>
      <c r="N303" s="273">
        <v>0</v>
      </c>
      <c r="P303" s="11"/>
    </row>
    <row r="304" spans="5:16" hidden="1">
      <c r="E304" s="272"/>
      <c r="F304" s="273" t="s">
        <v>520</v>
      </c>
      <c r="G304" s="273">
        <v>256</v>
      </c>
      <c r="H304" s="273">
        <v>2964157</v>
      </c>
      <c r="I304" s="273">
        <v>0</v>
      </c>
      <c r="J304" s="273">
        <v>40818</v>
      </c>
      <c r="K304" s="273">
        <v>0</v>
      </c>
      <c r="L304" s="273">
        <v>130146427</v>
      </c>
      <c r="M304" s="273">
        <f t="shared" si="3"/>
        <v>3253661</v>
      </c>
      <c r="N304" s="273">
        <v>0</v>
      </c>
      <c r="P304" s="11"/>
    </row>
    <row r="305" spans="5:16" hidden="1">
      <c r="E305" s="272"/>
      <c r="F305" s="273" t="s">
        <v>521</v>
      </c>
      <c r="G305" s="273">
        <v>257</v>
      </c>
      <c r="H305" s="273">
        <v>11396232</v>
      </c>
      <c r="I305" s="273">
        <v>821</v>
      </c>
      <c r="J305" s="273">
        <v>309022</v>
      </c>
      <c r="K305" s="273">
        <v>0</v>
      </c>
      <c r="L305" s="273">
        <v>783666600</v>
      </c>
      <c r="M305" s="273">
        <f t="shared" si="3"/>
        <v>19591665</v>
      </c>
      <c r="N305" s="273">
        <v>0</v>
      </c>
      <c r="P305" s="11"/>
    </row>
    <row r="306" spans="5:16" hidden="1">
      <c r="E306" s="272"/>
      <c r="F306" s="273" t="s">
        <v>522</v>
      </c>
      <c r="G306" s="273">
        <v>258</v>
      </c>
      <c r="H306" s="273">
        <v>83270410</v>
      </c>
      <c r="I306" s="273">
        <v>0</v>
      </c>
      <c r="J306" s="273">
        <v>1196035</v>
      </c>
      <c r="K306" s="273">
        <v>0</v>
      </c>
      <c r="L306" s="273">
        <v>4534079631</v>
      </c>
      <c r="M306" s="273">
        <f t="shared" ref="M306:M369" si="4">ROUND(L306*0.025,0)</f>
        <v>113351991</v>
      </c>
      <c r="N306" s="273">
        <v>0</v>
      </c>
      <c r="P306" s="11"/>
    </row>
    <row r="307" spans="5:16" hidden="1">
      <c r="E307" s="272"/>
      <c r="F307" s="273" t="s">
        <v>523</v>
      </c>
      <c r="G307" s="273">
        <v>259</v>
      </c>
      <c r="H307" s="273">
        <v>16949641</v>
      </c>
      <c r="I307" s="273">
        <v>0</v>
      </c>
      <c r="J307" s="273">
        <v>434732</v>
      </c>
      <c r="K307" s="273">
        <v>0</v>
      </c>
      <c r="L307" s="273">
        <v>1558127788</v>
      </c>
      <c r="M307" s="273">
        <f t="shared" si="4"/>
        <v>38953195</v>
      </c>
      <c r="N307" s="273">
        <v>0</v>
      </c>
      <c r="P307" s="11"/>
    </row>
    <row r="308" spans="5:16" hidden="1">
      <c r="E308" s="272"/>
      <c r="F308" s="273" t="s">
        <v>524</v>
      </c>
      <c r="G308" s="273">
        <v>260</v>
      </c>
      <c r="H308" s="273">
        <v>2767331</v>
      </c>
      <c r="I308" s="273">
        <v>0</v>
      </c>
      <c r="J308" s="273">
        <v>16246</v>
      </c>
      <c r="K308" s="273">
        <v>0</v>
      </c>
      <c r="L308" s="273">
        <v>216332965</v>
      </c>
      <c r="M308" s="273">
        <f t="shared" si="4"/>
        <v>5408324</v>
      </c>
      <c r="N308" s="273">
        <v>0</v>
      </c>
      <c r="P308" s="11"/>
    </row>
    <row r="309" spans="5:16" hidden="1">
      <c r="E309" s="272"/>
      <c r="F309" s="273" t="s">
        <v>525</v>
      </c>
      <c r="G309" s="273">
        <v>261</v>
      </c>
      <c r="H309" s="273">
        <v>52284061</v>
      </c>
      <c r="I309" s="273">
        <v>0</v>
      </c>
      <c r="J309" s="273">
        <v>651155</v>
      </c>
      <c r="K309" s="273">
        <v>0</v>
      </c>
      <c r="L309" s="273">
        <v>3823133300</v>
      </c>
      <c r="M309" s="273">
        <f t="shared" si="4"/>
        <v>95578333</v>
      </c>
      <c r="N309" s="273">
        <v>0</v>
      </c>
      <c r="P309" s="11"/>
    </row>
    <row r="310" spans="5:16" hidden="1">
      <c r="E310" s="272"/>
      <c r="F310" s="273" t="s">
        <v>526</v>
      </c>
      <c r="G310" s="273">
        <v>262</v>
      </c>
      <c r="H310" s="273">
        <v>56139325</v>
      </c>
      <c r="I310" s="273">
        <v>82</v>
      </c>
      <c r="J310" s="273">
        <v>477878</v>
      </c>
      <c r="K310" s="273">
        <v>0</v>
      </c>
      <c r="L310" s="273">
        <v>3923689310</v>
      </c>
      <c r="M310" s="273">
        <f t="shared" si="4"/>
        <v>98092233</v>
      </c>
      <c r="N310" s="273">
        <v>0</v>
      </c>
      <c r="P310" s="11"/>
    </row>
    <row r="311" spans="5:16" hidden="1">
      <c r="E311" s="272"/>
      <c r="F311" s="273" t="s">
        <v>527</v>
      </c>
      <c r="G311" s="273">
        <v>263</v>
      </c>
      <c r="H311" s="273">
        <v>1229132</v>
      </c>
      <c r="I311" s="273">
        <v>1575</v>
      </c>
      <c r="J311" s="273">
        <v>30667</v>
      </c>
      <c r="K311" s="273">
        <v>0</v>
      </c>
      <c r="L311" s="273">
        <v>67162428</v>
      </c>
      <c r="M311" s="273">
        <f t="shared" si="4"/>
        <v>1679061</v>
      </c>
      <c r="N311" s="273">
        <v>0</v>
      </c>
      <c r="P311" s="11"/>
    </row>
    <row r="312" spans="5:16" hidden="1">
      <c r="E312" s="272"/>
      <c r="F312" s="273" t="s">
        <v>528</v>
      </c>
      <c r="G312" s="273">
        <v>264</v>
      </c>
      <c r="H312" s="273">
        <v>50137901</v>
      </c>
      <c r="I312" s="273">
        <v>0</v>
      </c>
      <c r="J312" s="273">
        <v>532715</v>
      </c>
      <c r="K312" s="273">
        <v>0</v>
      </c>
      <c r="L312" s="273">
        <v>4082256130</v>
      </c>
      <c r="M312" s="273">
        <f t="shared" si="4"/>
        <v>102056403</v>
      </c>
      <c r="N312" s="273">
        <v>0</v>
      </c>
      <c r="P312" s="11"/>
    </row>
    <row r="313" spans="5:16" hidden="1">
      <c r="E313" s="272"/>
      <c r="F313" s="273" t="s">
        <v>529</v>
      </c>
      <c r="G313" s="273">
        <v>265</v>
      </c>
      <c r="H313" s="273">
        <v>33762555</v>
      </c>
      <c r="I313" s="273">
        <v>0</v>
      </c>
      <c r="J313" s="273">
        <v>706435</v>
      </c>
      <c r="K313" s="273">
        <v>0</v>
      </c>
      <c r="L313" s="273">
        <v>2168831320</v>
      </c>
      <c r="M313" s="273">
        <f t="shared" si="4"/>
        <v>54220783</v>
      </c>
      <c r="N313" s="273">
        <v>0</v>
      </c>
      <c r="P313" s="11"/>
    </row>
    <row r="314" spans="5:16" hidden="1">
      <c r="E314" s="272"/>
      <c r="F314" s="273" t="s">
        <v>530</v>
      </c>
      <c r="G314" s="273">
        <v>266</v>
      </c>
      <c r="H314" s="273">
        <v>57967206</v>
      </c>
      <c r="I314" s="273">
        <v>0</v>
      </c>
      <c r="J314" s="273">
        <v>438221</v>
      </c>
      <c r="K314" s="273">
        <v>0</v>
      </c>
      <c r="L314" s="273">
        <v>3131671100</v>
      </c>
      <c r="M314" s="273">
        <f t="shared" si="4"/>
        <v>78291778</v>
      </c>
      <c r="N314" s="273">
        <v>0</v>
      </c>
      <c r="P314" s="11"/>
    </row>
    <row r="315" spans="5:16" hidden="1">
      <c r="E315" s="272"/>
      <c r="F315" s="273" t="s">
        <v>531</v>
      </c>
      <c r="G315" s="273">
        <v>267</v>
      </c>
      <c r="H315" s="273">
        <v>8966232</v>
      </c>
      <c r="I315" s="273">
        <v>0</v>
      </c>
      <c r="J315" s="273">
        <v>157260</v>
      </c>
      <c r="K315" s="273">
        <v>0</v>
      </c>
      <c r="L315" s="273">
        <v>608085291</v>
      </c>
      <c r="M315" s="273">
        <f t="shared" si="4"/>
        <v>15202132</v>
      </c>
      <c r="N315" s="273">
        <v>0</v>
      </c>
      <c r="P315" s="11"/>
    </row>
    <row r="316" spans="5:16" hidden="1">
      <c r="E316" s="272"/>
      <c r="F316" s="273" t="s">
        <v>532</v>
      </c>
      <c r="G316" s="273">
        <v>268</v>
      </c>
      <c r="H316" s="273">
        <v>3471584</v>
      </c>
      <c r="I316" s="273">
        <v>0</v>
      </c>
      <c r="J316" s="273">
        <v>66247</v>
      </c>
      <c r="K316" s="273">
        <v>0</v>
      </c>
      <c r="L316" s="273">
        <v>234246585</v>
      </c>
      <c r="M316" s="273">
        <f t="shared" si="4"/>
        <v>5856165</v>
      </c>
      <c r="N316" s="273">
        <v>0</v>
      </c>
      <c r="P316" s="11"/>
    </row>
    <row r="317" spans="5:16" hidden="1">
      <c r="E317" s="272"/>
      <c r="F317" s="273" t="s">
        <v>533</v>
      </c>
      <c r="G317" s="273">
        <v>269</v>
      </c>
      <c r="H317" s="273">
        <v>20996172</v>
      </c>
      <c r="I317" s="273">
        <v>0</v>
      </c>
      <c r="J317" s="273">
        <v>178923</v>
      </c>
      <c r="K317" s="273">
        <v>0</v>
      </c>
      <c r="L317" s="273">
        <v>1138906685</v>
      </c>
      <c r="M317" s="273">
        <f t="shared" si="4"/>
        <v>28472667</v>
      </c>
      <c r="N317" s="273">
        <v>0</v>
      </c>
      <c r="P317" s="11"/>
    </row>
    <row r="318" spans="5:16" hidden="1">
      <c r="E318" s="272"/>
      <c r="F318" s="273" t="s">
        <v>534</v>
      </c>
      <c r="G318" s="273">
        <v>270</v>
      </c>
      <c r="H318" s="273">
        <v>8911184</v>
      </c>
      <c r="I318" s="273">
        <v>0</v>
      </c>
      <c r="J318" s="273">
        <v>139956</v>
      </c>
      <c r="K318" s="273">
        <v>0</v>
      </c>
      <c r="L318" s="273">
        <v>605712883</v>
      </c>
      <c r="M318" s="273">
        <f t="shared" si="4"/>
        <v>15142822</v>
      </c>
      <c r="N318" s="273">
        <v>0</v>
      </c>
      <c r="P318" s="11"/>
    </row>
    <row r="319" spans="5:16" hidden="1">
      <c r="E319" s="272"/>
      <c r="F319" s="273" t="s">
        <v>535</v>
      </c>
      <c r="G319" s="273">
        <v>271</v>
      </c>
      <c r="H319" s="273">
        <v>60663759</v>
      </c>
      <c r="I319" s="273">
        <v>7347</v>
      </c>
      <c r="J319" s="273">
        <v>959612</v>
      </c>
      <c r="K319" s="273">
        <v>0</v>
      </c>
      <c r="L319" s="273">
        <v>5196075499</v>
      </c>
      <c r="M319" s="273">
        <f t="shared" si="4"/>
        <v>129901887</v>
      </c>
      <c r="N319" s="273">
        <v>0</v>
      </c>
      <c r="P319" s="11"/>
    </row>
    <row r="320" spans="5:16" hidden="1">
      <c r="E320" s="272"/>
      <c r="F320" s="273" t="s">
        <v>536</v>
      </c>
      <c r="G320" s="273">
        <v>272</v>
      </c>
      <c r="H320" s="273">
        <v>4577790</v>
      </c>
      <c r="I320" s="273">
        <v>0</v>
      </c>
      <c r="J320" s="273">
        <v>26769</v>
      </c>
      <c r="K320" s="273">
        <v>0</v>
      </c>
      <c r="L320" s="273">
        <v>212263400</v>
      </c>
      <c r="M320" s="273">
        <f t="shared" si="4"/>
        <v>5306585</v>
      </c>
      <c r="N320" s="273">
        <v>0</v>
      </c>
      <c r="P320" s="11"/>
    </row>
    <row r="321" spans="5:16" hidden="1">
      <c r="E321" s="272"/>
      <c r="F321" s="273" t="s">
        <v>537</v>
      </c>
      <c r="G321" s="273">
        <v>273</v>
      </c>
      <c r="H321" s="273">
        <v>50754952</v>
      </c>
      <c r="I321" s="273">
        <v>0</v>
      </c>
      <c r="J321" s="273">
        <v>314862</v>
      </c>
      <c r="K321" s="273">
        <v>0</v>
      </c>
      <c r="L321" s="273">
        <v>2070407630</v>
      </c>
      <c r="M321" s="273">
        <f t="shared" si="4"/>
        <v>51760191</v>
      </c>
      <c r="N321" s="273">
        <v>0</v>
      </c>
      <c r="P321" s="11"/>
    </row>
    <row r="322" spans="5:16" hidden="1">
      <c r="E322" s="272"/>
      <c r="F322" s="273" t="s">
        <v>538</v>
      </c>
      <c r="G322" s="273">
        <v>274</v>
      </c>
      <c r="H322" s="273">
        <v>123036937</v>
      </c>
      <c r="I322" s="273">
        <v>357</v>
      </c>
      <c r="J322" s="273">
        <v>3326937</v>
      </c>
      <c r="K322" s="273">
        <v>0</v>
      </c>
      <c r="L322" s="273">
        <v>11198774270</v>
      </c>
      <c r="M322" s="273">
        <f t="shared" si="4"/>
        <v>279969357</v>
      </c>
      <c r="N322" s="273">
        <v>0</v>
      </c>
      <c r="P322" s="11"/>
    </row>
    <row r="323" spans="5:16" hidden="1">
      <c r="E323" s="272"/>
      <c r="F323" s="273" t="s">
        <v>539</v>
      </c>
      <c r="G323" s="273">
        <v>275</v>
      </c>
      <c r="H323" s="273">
        <v>23392639</v>
      </c>
      <c r="I323" s="273">
        <v>0</v>
      </c>
      <c r="J323" s="273">
        <v>199811</v>
      </c>
      <c r="K323" s="273">
        <v>0</v>
      </c>
      <c r="L323" s="273">
        <v>1452428625</v>
      </c>
      <c r="M323" s="273">
        <f t="shared" si="4"/>
        <v>36310716</v>
      </c>
      <c r="N323" s="273">
        <v>0</v>
      </c>
      <c r="P323" s="11"/>
    </row>
    <row r="324" spans="5:16" hidden="1">
      <c r="E324" s="272"/>
      <c r="F324" s="273" t="s">
        <v>540</v>
      </c>
      <c r="G324" s="273">
        <v>276</v>
      </c>
      <c r="H324" s="273">
        <v>9659836</v>
      </c>
      <c r="I324" s="273">
        <v>0</v>
      </c>
      <c r="J324" s="273">
        <v>194679</v>
      </c>
      <c r="K324" s="273">
        <v>0</v>
      </c>
      <c r="L324" s="273">
        <v>663467433</v>
      </c>
      <c r="M324" s="273">
        <f t="shared" si="4"/>
        <v>16586686</v>
      </c>
      <c r="N324" s="273">
        <v>0</v>
      </c>
      <c r="P324" s="11"/>
    </row>
    <row r="325" spans="5:16" hidden="1">
      <c r="E325" s="272"/>
      <c r="F325" s="273" t="s">
        <v>541</v>
      </c>
      <c r="G325" s="273">
        <v>277</v>
      </c>
      <c r="H325" s="273">
        <v>36277241</v>
      </c>
      <c r="I325" s="273">
        <v>0</v>
      </c>
      <c r="J325" s="273">
        <v>704263</v>
      </c>
      <c r="K325" s="273">
        <v>0</v>
      </c>
      <c r="L325" s="273">
        <v>2341768267</v>
      </c>
      <c r="M325" s="273">
        <f t="shared" si="4"/>
        <v>58544207</v>
      </c>
      <c r="N325" s="273">
        <v>0</v>
      </c>
      <c r="P325" s="11"/>
    </row>
    <row r="326" spans="5:16" hidden="1">
      <c r="E326" s="272"/>
      <c r="F326" s="273" t="s">
        <v>542</v>
      </c>
      <c r="G326" s="273">
        <v>278</v>
      </c>
      <c r="H326" s="273">
        <v>18453786</v>
      </c>
      <c r="I326" s="273">
        <v>0</v>
      </c>
      <c r="J326" s="273">
        <v>235883</v>
      </c>
      <c r="K326" s="273">
        <v>0</v>
      </c>
      <c r="L326" s="273">
        <v>915440195</v>
      </c>
      <c r="M326" s="273">
        <f t="shared" si="4"/>
        <v>22886005</v>
      </c>
      <c r="N326" s="273">
        <v>0</v>
      </c>
      <c r="P326" s="11"/>
    </row>
    <row r="327" spans="5:16" hidden="1">
      <c r="E327" s="272"/>
      <c r="F327" s="273" t="s">
        <v>543</v>
      </c>
      <c r="G327" s="273">
        <v>279</v>
      </c>
      <c r="H327" s="273">
        <v>16404944</v>
      </c>
      <c r="I327" s="273">
        <v>0</v>
      </c>
      <c r="J327" s="273">
        <v>243379</v>
      </c>
      <c r="K327" s="273">
        <v>0</v>
      </c>
      <c r="L327" s="273">
        <v>1001012928</v>
      </c>
      <c r="M327" s="273">
        <f t="shared" si="4"/>
        <v>25025323</v>
      </c>
      <c r="N327" s="273">
        <v>0</v>
      </c>
      <c r="P327" s="11"/>
    </row>
    <row r="328" spans="5:16" hidden="1">
      <c r="E328" s="272"/>
      <c r="F328" s="273" t="s">
        <v>544</v>
      </c>
      <c r="G328" s="273">
        <v>280</v>
      </c>
      <c r="H328" s="273">
        <v>11864553</v>
      </c>
      <c r="I328" s="273">
        <v>0</v>
      </c>
      <c r="J328" s="273">
        <v>109912</v>
      </c>
      <c r="K328" s="273">
        <v>0</v>
      </c>
      <c r="L328" s="273">
        <v>912711201</v>
      </c>
      <c r="M328" s="273">
        <f t="shared" si="4"/>
        <v>22817780</v>
      </c>
      <c r="N328" s="273">
        <v>0</v>
      </c>
      <c r="P328" s="11"/>
    </row>
    <row r="329" spans="5:16" hidden="1">
      <c r="E329" s="272"/>
      <c r="F329" s="273" t="s">
        <v>545</v>
      </c>
      <c r="G329" s="273">
        <v>281</v>
      </c>
      <c r="H329" s="273">
        <v>176123213</v>
      </c>
      <c r="I329" s="273">
        <v>141737</v>
      </c>
      <c r="J329" s="273">
        <v>5047901</v>
      </c>
      <c r="K329" s="273">
        <v>0</v>
      </c>
      <c r="L329" s="273">
        <v>7276422130</v>
      </c>
      <c r="M329" s="273">
        <f t="shared" si="4"/>
        <v>181910553</v>
      </c>
      <c r="N329" s="273">
        <v>0</v>
      </c>
      <c r="P329" s="11"/>
    </row>
    <row r="330" spans="5:16" hidden="1">
      <c r="E330" s="272"/>
      <c r="F330" s="273" t="s">
        <v>546</v>
      </c>
      <c r="G330" s="273">
        <v>282</v>
      </c>
      <c r="H330" s="273">
        <v>16571624</v>
      </c>
      <c r="I330" s="273">
        <v>0</v>
      </c>
      <c r="J330" s="273">
        <v>215938</v>
      </c>
      <c r="K330" s="273">
        <v>0</v>
      </c>
      <c r="L330" s="273">
        <v>955209193</v>
      </c>
      <c r="M330" s="273">
        <f t="shared" si="4"/>
        <v>23880230</v>
      </c>
      <c r="N330" s="273">
        <v>0</v>
      </c>
      <c r="P330" s="11"/>
    </row>
    <row r="331" spans="5:16" hidden="1">
      <c r="E331" s="272"/>
      <c r="F331" s="273" t="s">
        <v>547</v>
      </c>
      <c r="G331" s="273">
        <v>283</v>
      </c>
      <c r="H331" s="273">
        <v>7469364</v>
      </c>
      <c r="I331" s="273">
        <v>0</v>
      </c>
      <c r="J331" s="273">
        <v>52410</v>
      </c>
      <c r="K331" s="273">
        <v>0</v>
      </c>
      <c r="L331" s="273">
        <v>849885678</v>
      </c>
      <c r="M331" s="273">
        <f t="shared" si="4"/>
        <v>21247142</v>
      </c>
      <c r="N331" s="273">
        <v>0</v>
      </c>
      <c r="P331" s="11"/>
    </row>
    <row r="332" spans="5:16" hidden="1">
      <c r="E332" s="272"/>
      <c r="F332" s="273" t="s">
        <v>548</v>
      </c>
      <c r="G332" s="273">
        <v>284</v>
      </c>
      <c r="H332" s="273">
        <v>42148283</v>
      </c>
      <c r="I332" s="273">
        <v>0</v>
      </c>
      <c r="J332" s="273">
        <v>443245</v>
      </c>
      <c r="K332" s="273">
        <v>0</v>
      </c>
      <c r="L332" s="273">
        <v>3344702394</v>
      </c>
      <c r="M332" s="273">
        <f t="shared" si="4"/>
        <v>83617560</v>
      </c>
      <c r="N332" s="273">
        <v>0</v>
      </c>
      <c r="P332" s="11"/>
    </row>
    <row r="333" spans="5:16" hidden="1">
      <c r="E333" s="272"/>
      <c r="F333" s="273" t="s">
        <v>549</v>
      </c>
      <c r="G333" s="273">
        <v>285</v>
      </c>
      <c r="H333" s="273">
        <v>56778587</v>
      </c>
      <c r="I333" s="273">
        <v>232263</v>
      </c>
      <c r="J333" s="273">
        <v>921425</v>
      </c>
      <c r="K333" s="273">
        <v>0</v>
      </c>
      <c r="L333" s="273">
        <v>3419417064</v>
      </c>
      <c r="M333" s="273">
        <f t="shared" si="4"/>
        <v>85485427</v>
      </c>
      <c r="N333" s="273">
        <v>0</v>
      </c>
      <c r="P333" s="11"/>
    </row>
    <row r="334" spans="5:16" hidden="1">
      <c r="E334" s="276"/>
      <c r="F334" s="273" t="s">
        <v>550</v>
      </c>
      <c r="G334" s="273">
        <v>286</v>
      </c>
      <c r="H334" s="273">
        <v>22581766</v>
      </c>
      <c r="I334" s="273">
        <v>0</v>
      </c>
      <c r="J334" s="273">
        <v>282381</v>
      </c>
      <c r="K334" s="273">
        <v>0</v>
      </c>
      <c r="L334" s="273">
        <v>1199502990</v>
      </c>
      <c r="M334" s="273">
        <f t="shared" si="4"/>
        <v>29987575</v>
      </c>
      <c r="N334" s="273">
        <v>0</v>
      </c>
      <c r="P334" s="11"/>
    </row>
    <row r="335" spans="5:16" hidden="1">
      <c r="E335" s="272"/>
      <c r="F335" s="273" t="s">
        <v>551</v>
      </c>
      <c r="G335" s="273">
        <v>287</v>
      </c>
      <c r="H335" s="273">
        <v>20713056</v>
      </c>
      <c r="I335" s="273">
        <v>0</v>
      </c>
      <c r="J335" s="273">
        <v>236004</v>
      </c>
      <c r="K335" s="273">
        <v>0</v>
      </c>
      <c r="L335" s="273">
        <v>1135803129</v>
      </c>
      <c r="M335" s="273">
        <f t="shared" si="4"/>
        <v>28395078</v>
      </c>
      <c r="N335" s="273">
        <v>0</v>
      </c>
      <c r="P335" s="11"/>
    </row>
    <row r="336" spans="5:16" hidden="1">
      <c r="E336" s="272"/>
      <c r="F336" s="273" t="s">
        <v>552</v>
      </c>
      <c r="G336" s="273">
        <v>288</v>
      </c>
      <c r="H336" s="273">
        <v>71784968</v>
      </c>
      <c r="I336" s="273">
        <v>0</v>
      </c>
      <c r="J336" s="273">
        <v>601228</v>
      </c>
      <c r="K336" s="273">
        <v>0</v>
      </c>
      <c r="L336" s="273">
        <v>4230884307</v>
      </c>
      <c r="M336" s="273">
        <f t="shared" si="4"/>
        <v>105772108</v>
      </c>
      <c r="N336" s="273">
        <v>0</v>
      </c>
      <c r="P336" s="11"/>
    </row>
    <row r="337" spans="5:16" hidden="1">
      <c r="E337" s="272"/>
      <c r="F337" s="273" t="s">
        <v>553</v>
      </c>
      <c r="G337" s="273">
        <v>289</v>
      </c>
      <c r="H337" s="273">
        <v>4491980</v>
      </c>
      <c r="I337" s="273">
        <v>1864</v>
      </c>
      <c r="J337" s="273">
        <v>40488</v>
      </c>
      <c r="K337" s="273">
        <v>0</v>
      </c>
      <c r="L337" s="273">
        <v>339315351</v>
      </c>
      <c r="M337" s="273">
        <f t="shared" si="4"/>
        <v>8482884</v>
      </c>
      <c r="N337" s="273">
        <v>0</v>
      </c>
      <c r="P337" s="11"/>
    </row>
    <row r="338" spans="5:16" hidden="1">
      <c r="E338" s="272"/>
      <c r="F338" s="273" t="s">
        <v>554</v>
      </c>
      <c r="G338" s="273">
        <v>290</v>
      </c>
      <c r="H338" s="273">
        <v>16141064</v>
      </c>
      <c r="I338" s="273">
        <v>0</v>
      </c>
      <c r="J338" s="273">
        <v>206408</v>
      </c>
      <c r="K338" s="273">
        <v>0</v>
      </c>
      <c r="L338" s="273">
        <v>1251329952</v>
      </c>
      <c r="M338" s="273">
        <f t="shared" si="4"/>
        <v>31283249</v>
      </c>
      <c r="N338" s="273">
        <v>0</v>
      </c>
      <c r="P338" s="11"/>
    </row>
    <row r="339" spans="5:16" hidden="1">
      <c r="E339" s="272"/>
      <c r="F339" s="273" t="s">
        <v>555</v>
      </c>
      <c r="G339" s="273">
        <v>291</v>
      </c>
      <c r="H339" s="273">
        <v>43057986</v>
      </c>
      <c r="I339" s="273">
        <v>0</v>
      </c>
      <c r="J339" s="273">
        <v>700266</v>
      </c>
      <c r="K339" s="273">
        <v>0</v>
      </c>
      <c r="L339" s="273">
        <v>2560670126</v>
      </c>
      <c r="M339" s="273">
        <f t="shared" si="4"/>
        <v>64016753</v>
      </c>
      <c r="N339" s="273">
        <v>0</v>
      </c>
      <c r="P339" s="11"/>
    </row>
    <row r="340" spans="5:16" hidden="1">
      <c r="E340" s="272"/>
      <c r="F340" s="273" t="s">
        <v>556</v>
      </c>
      <c r="G340" s="273">
        <v>292</v>
      </c>
      <c r="H340" s="273">
        <v>28416510</v>
      </c>
      <c r="I340" s="273">
        <v>0</v>
      </c>
      <c r="J340" s="273">
        <v>483535</v>
      </c>
      <c r="K340" s="273">
        <v>0</v>
      </c>
      <c r="L340" s="273">
        <v>1979989908</v>
      </c>
      <c r="M340" s="273">
        <f t="shared" si="4"/>
        <v>49499748</v>
      </c>
      <c r="N340" s="273">
        <v>0</v>
      </c>
      <c r="P340" s="11"/>
    </row>
    <row r="341" spans="5:16" hidden="1">
      <c r="E341" s="272"/>
      <c r="F341" s="273" t="s">
        <v>557</v>
      </c>
      <c r="G341" s="273">
        <v>293</v>
      </c>
      <c r="H341" s="273">
        <v>83171138</v>
      </c>
      <c r="I341" s="273">
        <v>0</v>
      </c>
      <c r="J341" s="273">
        <v>2583850</v>
      </c>
      <c r="K341" s="273">
        <v>0</v>
      </c>
      <c r="L341" s="273">
        <v>4514347120</v>
      </c>
      <c r="M341" s="273">
        <f t="shared" si="4"/>
        <v>112858678</v>
      </c>
      <c r="N341" s="273">
        <v>0</v>
      </c>
      <c r="P341" s="11"/>
    </row>
    <row r="342" spans="5:16" hidden="1">
      <c r="E342" s="272"/>
      <c r="F342" s="273" t="s">
        <v>558</v>
      </c>
      <c r="G342" s="273">
        <v>294</v>
      </c>
      <c r="H342" s="273">
        <v>8173449</v>
      </c>
      <c r="I342" s="273">
        <v>4989</v>
      </c>
      <c r="J342" s="273">
        <v>94321</v>
      </c>
      <c r="K342" s="273">
        <v>0</v>
      </c>
      <c r="L342" s="273">
        <v>556659447</v>
      </c>
      <c r="M342" s="273">
        <f t="shared" si="4"/>
        <v>13916486</v>
      </c>
      <c r="N342" s="273">
        <v>0</v>
      </c>
      <c r="P342" s="11"/>
    </row>
    <row r="343" spans="5:16" hidden="1">
      <c r="E343" s="272"/>
      <c r="F343" s="273" t="s">
        <v>559</v>
      </c>
      <c r="G343" s="273">
        <v>295</v>
      </c>
      <c r="H343" s="273">
        <v>63555128</v>
      </c>
      <c r="I343" s="273">
        <v>0</v>
      </c>
      <c r="J343" s="273">
        <v>1666091</v>
      </c>
      <c r="K343" s="273">
        <v>0</v>
      </c>
      <c r="L343" s="273">
        <v>4097616270</v>
      </c>
      <c r="M343" s="273">
        <f t="shared" si="4"/>
        <v>102440407</v>
      </c>
      <c r="N343" s="273">
        <v>0</v>
      </c>
      <c r="P343" s="11"/>
    </row>
    <row r="344" spans="5:16" hidden="1">
      <c r="E344" s="272"/>
      <c r="F344" s="273" t="s">
        <v>560</v>
      </c>
      <c r="G344" s="273">
        <v>296</v>
      </c>
      <c r="H344" s="273">
        <v>20534553</v>
      </c>
      <c r="I344" s="273">
        <v>9341</v>
      </c>
      <c r="J344" s="273">
        <v>202179</v>
      </c>
      <c r="K344" s="273">
        <v>208929</v>
      </c>
      <c r="L344" s="273">
        <v>2585118517</v>
      </c>
      <c r="M344" s="273">
        <f t="shared" si="4"/>
        <v>64627963</v>
      </c>
      <c r="N344" s="273">
        <v>0</v>
      </c>
      <c r="P344" s="11"/>
    </row>
    <row r="345" spans="5:16" hidden="1">
      <c r="E345" s="272"/>
      <c r="F345" s="273" t="s">
        <v>561</v>
      </c>
      <c r="G345" s="273">
        <v>297</v>
      </c>
      <c r="H345" s="273">
        <v>1098233</v>
      </c>
      <c r="I345" s="273">
        <v>0</v>
      </c>
      <c r="J345" s="273">
        <v>32755</v>
      </c>
      <c r="K345" s="273">
        <v>150000</v>
      </c>
      <c r="L345" s="273">
        <v>193898648</v>
      </c>
      <c r="M345" s="273">
        <f t="shared" si="4"/>
        <v>4847466</v>
      </c>
      <c r="N345" s="273">
        <v>0</v>
      </c>
      <c r="P345" s="11"/>
    </row>
    <row r="346" spans="5:16" hidden="1">
      <c r="E346" s="272"/>
      <c r="F346" s="273" t="s">
        <v>562</v>
      </c>
      <c r="G346" s="273">
        <v>298</v>
      </c>
      <c r="H346" s="273">
        <v>19882669</v>
      </c>
      <c r="I346" s="273">
        <v>0</v>
      </c>
      <c r="J346" s="273">
        <v>342461</v>
      </c>
      <c r="K346" s="273">
        <v>193000</v>
      </c>
      <c r="L346" s="273">
        <v>1266545220</v>
      </c>
      <c r="M346" s="273">
        <f t="shared" si="4"/>
        <v>31663631</v>
      </c>
      <c r="N346" s="273">
        <v>0</v>
      </c>
      <c r="P346" s="11"/>
    </row>
    <row r="347" spans="5:16" hidden="1">
      <c r="E347" s="272"/>
      <c r="F347" s="273" t="s">
        <v>563</v>
      </c>
      <c r="G347" s="273">
        <v>299</v>
      </c>
      <c r="H347" s="273">
        <v>14516628</v>
      </c>
      <c r="I347" s="273">
        <v>0</v>
      </c>
      <c r="J347" s="273">
        <v>139851</v>
      </c>
      <c r="K347" s="273">
        <v>0</v>
      </c>
      <c r="L347" s="273">
        <v>782649577</v>
      </c>
      <c r="M347" s="273">
        <f t="shared" si="4"/>
        <v>19566239</v>
      </c>
      <c r="N347" s="273">
        <v>0</v>
      </c>
      <c r="P347" s="11"/>
    </row>
    <row r="348" spans="5:16" hidden="1">
      <c r="E348" s="272"/>
      <c r="F348" s="273" t="s">
        <v>564</v>
      </c>
      <c r="G348" s="273">
        <v>300</v>
      </c>
      <c r="H348" s="273">
        <v>12906489</v>
      </c>
      <c r="I348" s="273">
        <v>0</v>
      </c>
      <c r="J348" s="273">
        <v>134397</v>
      </c>
      <c r="K348" s="273">
        <v>0</v>
      </c>
      <c r="L348" s="273">
        <v>2084200430</v>
      </c>
      <c r="M348" s="273">
        <f t="shared" si="4"/>
        <v>52105011</v>
      </c>
      <c r="N348" s="273">
        <v>0</v>
      </c>
      <c r="P348" s="11"/>
    </row>
    <row r="349" spans="5:16" hidden="1">
      <c r="E349" s="276"/>
      <c r="F349" s="273" t="s">
        <v>565</v>
      </c>
      <c r="G349" s="273">
        <v>301</v>
      </c>
      <c r="H349" s="273">
        <v>23113154</v>
      </c>
      <c r="I349" s="273">
        <v>0</v>
      </c>
      <c r="J349" s="273">
        <v>302680</v>
      </c>
      <c r="K349" s="273">
        <v>0</v>
      </c>
      <c r="L349" s="273">
        <v>1424602785</v>
      </c>
      <c r="M349" s="273">
        <f t="shared" si="4"/>
        <v>35615070</v>
      </c>
      <c r="N349" s="273">
        <v>0</v>
      </c>
      <c r="P349" s="11"/>
    </row>
    <row r="350" spans="5:16" hidden="1">
      <c r="E350" s="272"/>
      <c r="F350" s="273" t="s">
        <v>566</v>
      </c>
      <c r="G350" s="273">
        <v>302</v>
      </c>
      <c r="H350" s="273">
        <v>1315688</v>
      </c>
      <c r="I350" s="273">
        <v>0</v>
      </c>
      <c r="J350" s="273">
        <v>10826</v>
      </c>
      <c r="K350" s="273">
        <v>0</v>
      </c>
      <c r="L350" s="273">
        <v>192834550</v>
      </c>
      <c r="M350" s="273">
        <f t="shared" si="4"/>
        <v>4820864</v>
      </c>
      <c r="N350" s="273">
        <v>0</v>
      </c>
      <c r="P350" s="11"/>
    </row>
    <row r="351" spans="5:16" hidden="1">
      <c r="E351" s="272"/>
      <c r="F351" s="273" t="s">
        <v>567</v>
      </c>
      <c r="G351" s="273">
        <v>303</v>
      </c>
      <c r="H351" s="273">
        <v>15082976</v>
      </c>
      <c r="I351" s="273">
        <v>0</v>
      </c>
      <c r="J351" s="273">
        <v>145062</v>
      </c>
      <c r="K351" s="273">
        <v>1391632</v>
      </c>
      <c r="L351" s="273">
        <v>1003499218</v>
      </c>
      <c r="M351" s="273">
        <f t="shared" si="4"/>
        <v>25087480</v>
      </c>
      <c r="N351" s="273">
        <v>0</v>
      </c>
      <c r="P351" s="11"/>
    </row>
    <row r="352" spans="5:16" hidden="1">
      <c r="E352" s="272"/>
      <c r="F352" s="273" t="s">
        <v>568</v>
      </c>
      <c r="G352" s="273">
        <v>304</v>
      </c>
      <c r="H352" s="273">
        <v>22649560</v>
      </c>
      <c r="I352" s="273">
        <v>0</v>
      </c>
      <c r="J352" s="273">
        <v>536049</v>
      </c>
      <c r="K352" s="273">
        <v>0</v>
      </c>
      <c r="L352" s="273">
        <v>1493468746</v>
      </c>
      <c r="M352" s="273">
        <f t="shared" si="4"/>
        <v>37336719</v>
      </c>
      <c r="N352" s="273">
        <v>0</v>
      </c>
      <c r="P352" s="11"/>
    </row>
    <row r="353" spans="5:16" hidden="1">
      <c r="E353" s="272"/>
      <c r="F353" s="273" t="s">
        <v>569</v>
      </c>
      <c r="G353" s="273">
        <v>305</v>
      </c>
      <c r="H353" s="273">
        <v>60350740</v>
      </c>
      <c r="I353" s="273">
        <v>0</v>
      </c>
      <c r="J353" s="273">
        <v>1000131</v>
      </c>
      <c r="K353" s="273">
        <v>0</v>
      </c>
      <c r="L353" s="273">
        <v>4206445431</v>
      </c>
      <c r="M353" s="273">
        <f t="shared" si="4"/>
        <v>105161136</v>
      </c>
      <c r="N353" s="273">
        <v>0</v>
      </c>
      <c r="P353" s="11"/>
    </row>
    <row r="354" spans="5:16" hidden="1">
      <c r="E354" s="276"/>
      <c r="F354" s="273" t="s">
        <v>570</v>
      </c>
      <c r="G354" s="273">
        <v>306</v>
      </c>
      <c r="H354" s="273">
        <v>2896334</v>
      </c>
      <c r="I354" s="273">
        <v>0</v>
      </c>
      <c r="J354" s="273">
        <v>14558</v>
      </c>
      <c r="K354" s="273">
        <v>0</v>
      </c>
      <c r="L354" s="273">
        <v>156700386</v>
      </c>
      <c r="M354" s="273">
        <f t="shared" si="4"/>
        <v>3917510</v>
      </c>
      <c r="N354" s="273">
        <v>0</v>
      </c>
      <c r="P354" s="11"/>
    </row>
    <row r="355" spans="5:16" hidden="1">
      <c r="E355" s="272"/>
      <c r="F355" s="273" t="s">
        <v>571</v>
      </c>
      <c r="G355" s="273">
        <v>307</v>
      </c>
      <c r="H355" s="273">
        <v>60425260</v>
      </c>
      <c r="I355" s="273">
        <v>0</v>
      </c>
      <c r="J355" s="273">
        <v>1174514</v>
      </c>
      <c r="K355" s="273">
        <v>0</v>
      </c>
      <c r="L355" s="273">
        <v>3984460440</v>
      </c>
      <c r="M355" s="273">
        <f t="shared" si="4"/>
        <v>99611511</v>
      </c>
      <c r="N355" s="273">
        <v>0</v>
      </c>
      <c r="P355" s="11"/>
    </row>
    <row r="356" spans="5:16" hidden="1">
      <c r="E356" s="272"/>
      <c r="F356" s="273" t="s">
        <v>572</v>
      </c>
      <c r="G356" s="273">
        <v>308</v>
      </c>
      <c r="H356" s="273">
        <v>178285048</v>
      </c>
      <c r="I356" s="273">
        <v>0</v>
      </c>
      <c r="J356" s="273">
        <v>5735761</v>
      </c>
      <c r="K356" s="273">
        <v>0</v>
      </c>
      <c r="L356" s="273">
        <v>9946294086</v>
      </c>
      <c r="M356" s="273">
        <f t="shared" si="4"/>
        <v>248657352</v>
      </c>
      <c r="N356" s="273">
        <v>0</v>
      </c>
      <c r="P356" s="11"/>
    </row>
    <row r="357" spans="5:16" hidden="1">
      <c r="E357" s="272"/>
      <c r="F357" s="273" t="s">
        <v>573</v>
      </c>
      <c r="G357" s="273">
        <v>309</v>
      </c>
      <c r="H357" s="273">
        <v>13020800</v>
      </c>
      <c r="I357" s="273">
        <v>0</v>
      </c>
      <c r="J357" s="273">
        <v>235704</v>
      </c>
      <c r="K357" s="273">
        <v>0</v>
      </c>
      <c r="L357" s="273">
        <v>687095736</v>
      </c>
      <c r="M357" s="273">
        <f t="shared" si="4"/>
        <v>17177393</v>
      </c>
      <c r="N357" s="273">
        <v>0</v>
      </c>
      <c r="P357" s="11"/>
    </row>
    <row r="358" spans="5:16" hidden="1">
      <c r="E358" s="272"/>
      <c r="F358" s="273" t="s">
        <v>574</v>
      </c>
      <c r="G358" s="273">
        <v>310</v>
      </c>
      <c r="H358" s="273">
        <v>34981651</v>
      </c>
      <c r="I358" s="273">
        <v>0</v>
      </c>
      <c r="J358" s="273">
        <v>488085</v>
      </c>
      <c r="K358" s="273">
        <v>0</v>
      </c>
      <c r="L358" s="273">
        <v>3198696105</v>
      </c>
      <c r="M358" s="273">
        <f t="shared" si="4"/>
        <v>79967403</v>
      </c>
      <c r="N358" s="273">
        <v>0</v>
      </c>
      <c r="P358" s="11"/>
    </row>
    <row r="359" spans="5:16" hidden="1">
      <c r="E359" s="272"/>
      <c r="F359" s="273" t="s">
        <v>575</v>
      </c>
      <c r="G359" s="273">
        <v>311</v>
      </c>
      <c r="H359" s="273">
        <v>6673404</v>
      </c>
      <c r="I359" s="273">
        <v>0</v>
      </c>
      <c r="J359" s="273">
        <v>51248</v>
      </c>
      <c r="K359" s="273">
        <v>0</v>
      </c>
      <c r="L359" s="273">
        <v>328407547</v>
      </c>
      <c r="M359" s="273">
        <f t="shared" si="4"/>
        <v>8210189</v>
      </c>
      <c r="N359" s="273">
        <v>0</v>
      </c>
      <c r="P359" s="11"/>
    </row>
    <row r="360" spans="5:16" hidden="1">
      <c r="E360" s="272"/>
      <c r="F360" s="273" t="s">
        <v>576</v>
      </c>
      <c r="G360" s="273">
        <v>312</v>
      </c>
      <c r="H360" s="273">
        <v>1525063</v>
      </c>
      <c r="I360" s="273">
        <v>0</v>
      </c>
      <c r="J360" s="273">
        <v>16295</v>
      </c>
      <c r="K360" s="273">
        <v>0</v>
      </c>
      <c r="L360" s="273">
        <v>72810084</v>
      </c>
      <c r="M360" s="273">
        <f t="shared" si="4"/>
        <v>1820252</v>
      </c>
      <c r="N360" s="273">
        <v>0</v>
      </c>
      <c r="P360" s="11"/>
    </row>
    <row r="361" spans="5:16" hidden="1">
      <c r="E361" s="272"/>
      <c r="F361" s="273" t="s">
        <v>577</v>
      </c>
      <c r="G361" s="273">
        <v>313</v>
      </c>
      <c r="H361" s="273">
        <v>1033722</v>
      </c>
      <c r="I361" s="273">
        <v>0</v>
      </c>
      <c r="J361" s="273">
        <v>14837</v>
      </c>
      <c r="K361" s="273">
        <v>0</v>
      </c>
      <c r="L361" s="273">
        <v>79790690</v>
      </c>
      <c r="M361" s="273">
        <f t="shared" si="4"/>
        <v>1994767</v>
      </c>
      <c r="N361" s="273">
        <v>0</v>
      </c>
      <c r="P361" s="11"/>
    </row>
    <row r="362" spans="5:16" hidden="1">
      <c r="E362" s="272"/>
      <c r="F362" s="273" t="s">
        <v>578</v>
      </c>
      <c r="G362" s="273">
        <v>314</v>
      </c>
      <c r="H362" s="273">
        <v>86488677</v>
      </c>
      <c r="I362" s="273">
        <v>0</v>
      </c>
      <c r="J362" s="273">
        <v>2223012</v>
      </c>
      <c r="K362" s="273">
        <v>0</v>
      </c>
      <c r="L362" s="273">
        <v>6272536699</v>
      </c>
      <c r="M362" s="273">
        <f t="shared" si="4"/>
        <v>156813417</v>
      </c>
      <c r="N362" s="273">
        <v>0</v>
      </c>
      <c r="P362" s="11"/>
    </row>
    <row r="363" spans="5:16" hidden="1">
      <c r="E363" s="272"/>
      <c r="F363" s="273" t="s">
        <v>579</v>
      </c>
      <c r="G363" s="273">
        <v>315</v>
      </c>
      <c r="H363" s="273">
        <v>61590938</v>
      </c>
      <c r="I363" s="273">
        <v>0</v>
      </c>
      <c r="J363" s="273">
        <v>973920</v>
      </c>
      <c r="K363" s="273">
        <v>0</v>
      </c>
      <c r="L363" s="273">
        <v>3366486700</v>
      </c>
      <c r="M363" s="273">
        <f t="shared" si="4"/>
        <v>84162168</v>
      </c>
      <c r="N363" s="273">
        <v>0</v>
      </c>
      <c r="P363" s="11"/>
    </row>
    <row r="364" spans="5:16" hidden="1">
      <c r="E364" s="272"/>
      <c r="F364" s="273" t="s">
        <v>580</v>
      </c>
      <c r="G364" s="273">
        <v>316</v>
      </c>
      <c r="H364" s="273">
        <v>19151781</v>
      </c>
      <c r="I364" s="273">
        <v>0</v>
      </c>
      <c r="J364" s="273">
        <v>304541</v>
      </c>
      <c r="K364" s="273">
        <v>0</v>
      </c>
      <c r="L364" s="273">
        <v>1400262970</v>
      </c>
      <c r="M364" s="273">
        <f t="shared" si="4"/>
        <v>35006574</v>
      </c>
      <c r="N364" s="273">
        <v>0</v>
      </c>
      <c r="P364" s="11"/>
    </row>
    <row r="365" spans="5:16" hidden="1">
      <c r="E365" s="272"/>
      <c r="F365" s="273" t="s">
        <v>581</v>
      </c>
      <c r="G365" s="273">
        <v>317</v>
      </c>
      <c r="H365" s="273">
        <v>109137243</v>
      </c>
      <c r="I365" s="273">
        <v>0</v>
      </c>
      <c r="J365" s="273">
        <v>1693331</v>
      </c>
      <c r="K365" s="273">
        <v>0</v>
      </c>
      <c r="L365" s="273">
        <v>10774478700</v>
      </c>
      <c r="M365" s="273">
        <f t="shared" si="4"/>
        <v>269361968</v>
      </c>
      <c r="N365" s="273">
        <v>0</v>
      </c>
      <c r="P365" s="11"/>
    </row>
    <row r="366" spans="5:16" hidden="1">
      <c r="E366" s="272"/>
      <c r="F366" s="273" t="s">
        <v>582</v>
      </c>
      <c r="G366" s="273">
        <v>318</v>
      </c>
      <c r="H366" s="273">
        <v>13599002</v>
      </c>
      <c r="I366" s="273">
        <v>0</v>
      </c>
      <c r="J366" s="273">
        <v>109608</v>
      </c>
      <c r="K366" s="273">
        <v>100000</v>
      </c>
      <c r="L366" s="273">
        <v>2252621930</v>
      </c>
      <c r="M366" s="273">
        <f t="shared" si="4"/>
        <v>56315548</v>
      </c>
      <c r="N366" s="273">
        <v>0</v>
      </c>
      <c r="P366" s="11"/>
    </row>
    <row r="367" spans="5:16" hidden="1">
      <c r="E367" s="272"/>
      <c r="F367" s="273" t="s">
        <v>583</v>
      </c>
      <c r="G367" s="273">
        <v>319</v>
      </c>
      <c r="H367" s="273">
        <v>2147433</v>
      </c>
      <c r="I367" s="273">
        <v>0</v>
      </c>
      <c r="J367" s="273">
        <v>39651</v>
      </c>
      <c r="K367" s="273">
        <v>0</v>
      </c>
      <c r="L367" s="273">
        <v>92190410</v>
      </c>
      <c r="M367" s="273">
        <f t="shared" si="4"/>
        <v>2304760</v>
      </c>
      <c r="N367" s="273">
        <v>0</v>
      </c>
      <c r="P367" s="11"/>
    </row>
    <row r="368" spans="5:16" hidden="1">
      <c r="E368" s="272"/>
      <c r="F368" s="273" t="s">
        <v>584</v>
      </c>
      <c r="G368" s="273">
        <v>320</v>
      </c>
      <c r="H368" s="273">
        <v>12795186</v>
      </c>
      <c r="I368" s="273">
        <v>14067</v>
      </c>
      <c r="J368" s="273">
        <v>63095</v>
      </c>
      <c r="K368" s="273">
        <v>0</v>
      </c>
      <c r="L368" s="273">
        <v>789556796</v>
      </c>
      <c r="M368" s="273">
        <f t="shared" si="4"/>
        <v>19738920</v>
      </c>
      <c r="N368" s="273">
        <v>0</v>
      </c>
      <c r="P368" s="11"/>
    </row>
    <row r="369" spans="5:16" hidden="1">
      <c r="E369" s="272"/>
      <c r="F369" s="273" t="s">
        <v>585</v>
      </c>
      <c r="G369" s="273">
        <v>321</v>
      </c>
      <c r="H369" s="273">
        <v>14866552</v>
      </c>
      <c r="I369" s="273">
        <v>0</v>
      </c>
      <c r="J369" s="273">
        <v>176871</v>
      </c>
      <c r="K369" s="273">
        <v>0</v>
      </c>
      <c r="L369" s="273">
        <v>857610284</v>
      </c>
      <c r="M369" s="273">
        <f t="shared" si="4"/>
        <v>21440257</v>
      </c>
      <c r="N369" s="273">
        <v>0</v>
      </c>
      <c r="P369" s="11"/>
    </row>
    <row r="370" spans="5:16" hidden="1">
      <c r="E370" s="272"/>
      <c r="F370" s="273" t="s">
        <v>586</v>
      </c>
      <c r="G370" s="273">
        <v>322</v>
      </c>
      <c r="H370" s="273">
        <v>19956198</v>
      </c>
      <c r="I370" s="273">
        <v>0</v>
      </c>
      <c r="J370" s="273">
        <v>409471</v>
      </c>
      <c r="K370" s="273">
        <v>0</v>
      </c>
      <c r="L370" s="273">
        <v>1045818817</v>
      </c>
      <c r="M370" s="273">
        <f t="shared" ref="M370:M401" si="5">ROUND(L370*0.025,0)</f>
        <v>26145470</v>
      </c>
      <c r="N370" s="273">
        <v>0</v>
      </c>
      <c r="P370" s="11"/>
    </row>
    <row r="371" spans="5:16" hidden="1">
      <c r="E371" s="272"/>
      <c r="F371" s="273" t="s">
        <v>587</v>
      </c>
      <c r="G371" s="273">
        <v>323</v>
      </c>
      <c r="H371" s="273">
        <v>4886636</v>
      </c>
      <c r="I371" s="273">
        <v>0</v>
      </c>
      <c r="J371" s="273">
        <v>152709</v>
      </c>
      <c r="K371" s="273">
        <v>0</v>
      </c>
      <c r="L371" s="273">
        <v>342385853</v>
      </c>
      <c r="M371" s="273">
        <f t="shared" si="5"/>
        <v>8559646</v>
      </c>
      <c r="N371" s="273">
        <v>0</v>
      </c>
      <c r="P371" s="11"/>
    </row>
    <row r="372" spans="5:16" hidden="1">
      <c r="E372" s="272"/>
      <c r="F372" s="273" t="s">
        <v>588</v>
      </c>
      <c r="G372" s="273">
        <v>324</v>
      </c>
      <c r="H372" s="273">
        <v>11712003</v>
      </c>
      <c r="I372" s="273">
        <v>0</v>
      </c>
      <c r="J372" s="273">
        <v>188281</v>
      </c>
      <c r="K372" s="273">
        <v>0</v>
      </c>
      <c r="L372" s="273">
        <v>851048604</v>
      </c>
      <c r="M372" s="273">
        <f t="shared" si="5"/>
        <v>21276215</v>
      </c>
      <c r="N372" s="273">
        <v>0</v>
      </c>
      <c r="P372" s="11"/>
    </row>
    <row r="373" spans="5:16" hidden="1">
      <c r="E373" s="272"/>
      <c r="F373" s="273" t="s">
        <v>589</v>
      </c>
      <c r="G373" s="273">
        <v>325</v>
      </c>
      <c r="H373" s="273">
        <v>66190302</v>
      </c>
      <c r="I373" s="273">
        <v>0</v>
      </c>
      <c r="J373" s="273">
        <v>1012017</v>
      </c>
      <c r="K373" s="273">
        <v>0</v>
      </c>
      <c r="L373" s="273">
        <v>2715935722</v>
      </c>
      <c r="M373" s="273">
        <f t="shared" si="5"/>
        <v>67898393</v>
      </c>
      <c r="N373" s="273">
        <v>0</v>
      </c>
      <c r="P373" s="11"/>
    </row>
    <row r="374" spans="5:16" hidden="1">
      <c r="E374" s="276"/>
      <c r="F374" s="273" t="s">
        <v>590</v>
      </c>
      <c r="G374" s="273">
        <v>326</v>
      </c>
      <c r="H374" s="273">
        <v>5199928</v>
      </c>
      <c r="I374" s="273">
        <v>0</v>
      </c>
      <c r="J374" s="273">
        <v>27376</v>
      </c>
      <c r="K374" s="273">
        <v>0</v>
      </c>
      <c r="L374" s="273">
        <v>371379468</v>
      </c>
      <c r="M374" s="273">
        <f t="shared" si="5"/>
        <v>9284487</v>
      </c>
      <c r="N374" s="273">
        <v>0</v>
      </c>
      <c r="P374" s="11"/>
    </row>
    <row r="375" spans="5:16" hidden="1">
      <c r="E375" s="272"/>
      <c r="F375" s="273" t="s">
        <v>591</v>
      </c>
      <c r="G375" s="273">
        <v>327</v>
      </c>
      <c r="H375" s="273">
        <v>13254213</v>
      </c>
      <c r="I375" s="273">
        <v>0</v>
      </c>
      <c r="J375" s="273">
        <v>152483</v>
      </c>
      <c r="K375" s="273">
        <v>0</v>
      </c>
      <c r="L375" s="273">
        <v>2402730447</v>
      </c>
      <c r="M375" s="273">
        <f t="shared" si="5"/>
        <v>60068261</v>
      </c>
      <c r="N375" s="273">
        <v>0</v>
      </c>
      <c r="P375" s="11"/>
    </row>
    <row r="376" spans="5:16" hidden="1">
      <c r="E376" s="272"/>
      <c r="F376" s="273" t="s">
        <v>592</v>
      </c>
      <c r="G376" s="273">
        <v>328</v>
      </c>
      <c r="H376" s="273">
        <v>69793544</v>
      </c>
      <c r="I376" s="273">
        <v>0</v>
      </c>
      <c r="J376" s="273">
        <v>1784051</v>
      </c>
      <c r="K376" s="273">
        <v>0</v>
      </c>
      <c r="L376" s="273">
        <v>3677163152</v>
      </c>
      <c r="M376" s="273">
        <f t="shared" si="5"/>
        <v>91929079</v>
      </c>
      <c r="N376" s="273">
        <v>0</v>
      </c>
      <c r="P376" s="11"/>
    </row>
    <row r="377" spans="5:16" hidden="1">
      <c r="E377" s="272"/>
      <c r="F377" s="273" t="s">
        <v>593</v>
      </c>
      <c r="G377" s="273">
        <v>329</v>
      </c>
      <c r="H377" s="273">
        <v>66178065</v>
      </c>
      <c r="I377" s="273">
        <v>0</v>
      </c>
      <c r="J377" s="273">
        <v>1135209</v>
      </c>
      <c r="K377" s="273">
        <v>0</v>
      </c>
      <c r="L377" s="273">
        <v>3073071671</v>
      </c>
      <c r="M377" s="273">
        <f t="shared" si="5"/>
        <v>76826792</v>
      </c>
      <c r="N377" s="273">
        <v>0</v>
      </c>
      <c r="P377" s="11"/>
    </row>
    <row r="378" spans="5:16" hidden="1">
      <c r="E378" s="272"/>
      <c r="F378" s="273" t="s">
        <v>594</v>
      </c>
      <c r="G378" s="273">
        <v>330</v>
      </c>
      <c r="H378" s="273">
        <v>64692572</v>
      </c>
      <c r="I378" s="273">
        <v>4221</v>
      </c>
      <c r="J378" s="273">
        <v>901454</v>
      </c>
      <c r="K378" s="273">
        <v>0</v>
      </c>
      <c r="L378" s="273">
        <v>4314171996</v>
      </c>
      <c r="M378" s="273">
        <f t="shared" si="5"/>
        <v>107854300</v>
      </c>
      <c r="N378" s="273">
        <v>0</v>
      </c>
      <c r="P378" s="11"/>
    </row>
    <row r="379" spans="5:16" hidden="1">
      <c r="E379" s="276"/>
      <c r="F379" s="273" t="s">
        <v>595</v>
      </c>
      <c r="G379" s="273">
        <v>331</v>
      </c>
      <c r="H379" s="273">
        <v>3730747</v>
      </c>
      <c r="I379" s="273">
        <v>0</v>
      </c>
      <c r="J379" s="273">
        <v>48205</v>
      </c>
      <c r="K379" s="273">
        <v>39667</v>
      </c>
      <c r="L379" s="273">
        <v>223236507</v>
      </c>
      <c r="M379" s="273">
        <f t="shared" si="5"/>
        <v>5580913</v>
      </c>
      <c r="N379" s="273">
        <v>0</v>
      </c>
      <c r="P379" s="11"/>
    </row>
    <row r="380" spans="5:16" hidden="1">
      <c r="E380" s="272"/>
      <c r="F380" s="273" t="s">
        <v>596</v>
      </c>
      <c r="G380" s="273">
        <v>332</v>
      </c>
      <c r="H380" s="273">
        <v>15560594</v>
      </c>
      <c r="I380" s="273">
        <v>0</v>
      </c>
      <c r="J380" s="273">
        <v>355186</v>
      </c>
      <c r="K380" s="273">
        <v>0</v>
      </c>
      <c r="L380" s="273">
        <v>864642103</v>
      </c>
      <c r="M380" s="273">
        <f t="shared" si="5"/>
        <v>21616053</v>
      </c>
      <c r="N380" s="273">
        <v>0</v>
      </c>
      <c r="P380" s="11"/>
    </row>
    <row r="381" spans="5:16" hidden="1">
      <c r="E381" s="272"/>
      <c r="F381" s="273" t="s">
        <v>597</v>
      </c>
      <c r="G381" s="273">
        <v>333</v>
      </c>
      <c r="H381" s="273">
        <v>66282755</v>
      </c>
      <c r="I381" s="273">
        <v>0</v>
      </c>
      <c r="J381" s="273">
        <v>927176</v>
      </c>
      <c r="K381" s="273">
        <v>0</v>
      </c>
      <c r="L381" s="273">
        <v>5861486000</v>
      </c>
      <c r="M381" s="273">
        <f t="shared" si="5"/>
        <v>146537150</v>
      </c>
      <c r="N381" s="273">
        <v>0</v>
      </c>
      <c r="P381" s="11"/>
    </row>
    <row r="382" spans="5:16" hidden="1">
      <c r="E382" s="272"/>
      <c r="F382" s="273" t="s">
        <v>598</v>
      </c>
      <c r="G382" s="273">
        <v>334</v>
      </c>
      <c r="H382" s="273">
        <v>22706062</v>
      </c>
      <c r="I382" s="273">
        <v>0</v>
      </c>
      <c r="J382" s="273">
        <v>443616</v>
      </c>
      <c r="K382" s="273">
        <v>0</v>
      </c>
      <c r="L382" s="273">
        <v>3076136560</v>
      </c>
      <c r="M382" s="273">
        <f t="shared" si="5"/>
        <v>76903414</v>
      </c>
      <c r="N382" s="273">
        <v>0</v>
      </c>
      <c r="P382" s="11"/>
    </row>
    <row r="383" spans="5:16" hidden="1">
      <c r="E383" s="272"/>
      <c r="F383" s="273" t="s">
        <v>599</v>
      </c>
      <c r="G383" s="273">
        <v>335</v>
      </c>
      <c r="H383" s="273">
        <v>60753121</v>
      </c>
      <c r="I383" s="273">
        <v>0</v>
      </c>
      <c r="J383" s="273">
        <v>4162264</v>
      </c>
      <c r="K383" s="273">
        <v>0</v>
      </c>
      <c r="L383" s="273">
        <v>4067622032</v>
      </c>
      <c r="M383" s="273">
        <f t="shared" si="5"/>
        <v>101690551</v>
      </c>
      <c r="N383" s="273">
        <v>0</v>
      </c>
      <c r="P383" s="11"/>
    </row>
    <row r="384" spans="5:16" hidden="1">
      <c r="E384" s="272"/>
      <c r="F384" s="273" t="s">
        <v>600</v>
      </c>
      <c r="G384" s="273">
        <v>336</v>
      </c>
      <c r="H384" s="273">
        <v>88986186</v>
      </c>
      <c r="I384" s="273">
        <v>0</v>
      </c>
      <c r="J384" s="273">
        <v>2888898</v>
      </c>
      <c r="K384" s="273">
        <v>0</v>
      </c>
      <c r="L384" s="273">
        <v>6683708920</v>
      </c>
      <c r="M384" s="273">
        <f t="shared" si="5"/>
        <v>167092723</v>
      </c>
      <c r="N384" s="273">
        <v>0</v>
      </c>
      <c r="P384" s="11"/>
    </row>
    <row r="385" spans="5:16" hidden="1">
      <c r="E385" s="272"/>
      <c r="F385" s="273" t="s">
        <v>601</v>
      </c>
      <c r="G385" s="273">
        <v>337</v>
      </c>
      <c r="H385" s="273">
        <v>4148035</v>
      </c>
      <c r="I385" s="273">
        <v>0</v>
      </c>
      <c r="J385" s="273">
        <v>155754</v>
      </c>
      <c r="K385" s="273">
        <v>0</v>
      </c>
      <c r="L385" s="273">
        <v>262014034</v>
      </c>
      <c r="M385" s="273">
        <f t="shared" si="5"/>
        <v>6550351</v>
      </c>
      <c r="N385" s="273">
        <v>0</v>
      </c>
      <c r="P385" s="11"/>
    </row>
    <row r="386" spans="5:16" hidden="1">
      <c r="E386" s="272"/>
      <c r="F386" s="273" t="s">
        <v>602</v>
      </c>
      <c r="G386" s="273">
        <v>338</v>
      </c>
      <c r="H386" s="273">
        <v>20466110</v>
      </c>
      <c r="I386" s="273">
        <v>0</v>
      </c>
      <c r="J386" s="273">
        <v>1328292</v>
      </c>
      <c r="K386" s="273">
        <v>836500</v>
      </c>
      <c r="L386" s="273">
        <v>1423288613</v>
      </c>
      <c r="M386" s="273">
        <f t="shared" si="5"/>
        <v>35582215</v>
      </c>
      <c r="N386" s="273">
        <v>0</v>
      </c>
      <c r="P386" s="11"/>
    </row>
    <row r="387" spans="5:16" hidden="1">
      <c r="E387" s="272"/>
      <c r="F387" s="273" t="s">
        <v>603</v>
      </c>
      <c r="G387" s="273">
        <v>339</v>
      </c>
      <c r="H387" s="273">
        <v>32303247</v>
      </c>
      <c r="I387" s="273">
        <v>0</v>
      </c>
      <c r="J387" s="273">
        <v>329258</v>
      </c>
      <c r="K387" s="273">
        <v>0</v>
      </c>
      <c r="L387" s="273">
        <v>1608602600</v>
      </c>
      <c r="M387" s="273">
        <f t="shared" si="5"/>
        <v>40215065</v>
      </c>
      <c r="N387" s="273">
        <v>0</v>
      </c>
      <c r="P387" s="11"/>
    </row>
    <row r="388" spans="5:16" hidden="1">
      <c r="E388" s="272"/>
      <c r="F388" s="273" t="s">
        <v>604</v>
      </c>
      <c r="G388" s="273">
        <v>340</v>
      </c>
      <c r="H388" s="273">
        <v>5169226</v>
      </c>
      <c r="I388" s="273">
        <v>0</v>
      </c>
      <c r="J388" s="273">
        <v>60763</v>
      </c>
      <c r="K388" s="273">
        <v>0</v>
      </c>
      <c r="L388" s="273">
        <v>303338082</v>
      </c>
      <c r="M388" s="273">
        <f t="shared" si="5"/>
        <v>7583452</v>
      </c>
      <c r="N388" s="273">
        <v>0</v>
      </c>
      <c r="P388" s="11"/>
    </row>
    <row r="389" spans="5:16" hidden="1">
      <c r="E389" s="272"/>
      <c r="F389" s="273" t="s">
        <v>605</v>
      </c>
      <c r="G389" s="273">
        <v>341</v>
      </c>
      <c r="H389" s="273">
        <v>15300075</v>
      </c>
      <c r="I389" s="273">
        <v>0</v>
      </c>
      <c r="J389" s="273">
        <v>79765</v>
      </c>
      <c r="K389" s="273">
        <v>0</v>
      </c>
      <c r="L389" s="273">
        <v>956447233</v>
      </c>
      <c r="M389" s="273">
        <f t="shared" si="5"/>
        <v>23911181</v>
      </c>
      <c r="N389" s="273">
        <v>0</v>
      </c>
      <c r="P389" s="11"/>
    </row>
    <row r="390" spans="5:16" hidden="1">
      <c r="E390" s="272"/>
      <c r="F390" s="273" t="s">
        <v>606</v>
      </c>
      <c r="G390" s="273">
        <v>342</v>
      </c>
      <c r="H390" s="273">
        <v>66056442</v>
      </c>
      <c r="I390" s="273">
        <v>0</v>
      </c>
      <c r="J390" s="273">
        <v>1847593</v>
      </c>
      <c r="K390" s="273">
        <v>0</v>
      </c>
      <c r="L390" s="273">
        <v>3839715204</v>
      </c>
      <c r="M390" s="273">
        <f t="shared" si="5"/>
        <v>95992880</v>
      </c>
      <c r="N390" s="273">
        <v>0</v>
      </c>
      <c r="P390" s="11"/>
    </row>
    <row r="391" spans="5:16" hidden="1">
      <c r="E391" s="272"/>
      <c r="F391" s="273" t="s">
        <v>607</v>
      </c>
      <c r="G391" s="273">
        <v>343</v>
      </c>
      <c r="H391" s="273">
        <v>10385599</v>
      </c>
      <c r="I391" s="273">
        <v>0</v>
      </c>
      <c r="J391" s="273">
        <v>64823</v>
      </c>
      <c r="K391" s="273">
        <v>0</v>
      </c>
      <c r="L391" s="273">
        <v>614786324</v>
      </c>
      <c r="M391" s="273">
        <f t="shared" si="5"/>
        <v>15369658</v>
      </c>
      <c r="N391" s="273">
        <v>0</v>
      </c>
      <c r="P391" s="11"/>
    </row>
    <row r="392" spans="5:16" hidden="1">
      <c r="E392" s="272"/>
      <c r="F392" s="273" t="s">
        <v>608</v>
      </c>
      <c r="G392" s="273">
        <v>344</v>
      </c>
      <c r="H392" s="273">
        <v>67873453</v>
      </c>
      <c r="I392" s="273">
        <v>0</v>
      </c>
      <c r="J392" s="273">
        <v>738112</v>
      </c>
      <c r="K392" s="273">
        <v>0</v>
      </c>
      <c r="L392" s="273">
        <v>6591905517</v>
      </c>
      <c r="M392" s="273">
        <f t="shared" si="5"/>
        <v>164797638</v>
      </c>
      <c r="N392" s="273">
        <v>0</v>
      </c>
      <c r="P392" s="11"/>
    </row>
    <row r="393" spans="5:16" hidden="1">
      <c r="E393" s="272"/>
      <c r="F393" s="273" t="s">
        <v>609</v>
      </c>
      <c r="G393" s="273">
        <v>345</v>
      </c>
      <c r="H393" s="273">
        <v>1520190</v>
      </c>
      <c r="I393" s="273">
        <v>0</v>
      </c>
      <c r="J393" s="273">
        <v>25927</v>
      </c>
      <c r="K393" s="273">
        <v>0</v>
      </c>
      <c r="L393" s="273">
        <v>107883908</v>
      </c>
      <c r="M393" s="273">
        <f t="shared" si="5"/>
        <v>2697098</v>
      </c>
      <c r="N393" s="273">
        <v>0</v>
      </c>
      <c r="P393" s="11"/>
    </row>
    <row r="394" spans="5:16" hidden="1">
      <c r="E394" s="272"/>
      <c r="F394" s="273" t="s">
        <v>610</v>
      </c>
      <c r="G394" s="273">
        <v>346</v>
      </c>
      <c r="H394" s="273">
        <v>25558274</v>
      </c>
      <c r="I394" s="273">
        <v>7005</v>
      </c>
      <c r="J394" s="273">
        <v>192132</v>
      </c>
      <c r="K394" s="273">
        <v>0</v>
      </c>
      <c r="L394" s="273">
        <v>1913883640</v>
      </c>
      <c r="M394" s="273">
        <f t="shared" si="5"/>
        <v>47847091</v>
      </c>
      <c r="N394" s="273">
        <v>0</v>
      </c>
      <c r="P394" s="11"/>
    </row>
    <row r="395" spans="5:16" hidden="1">
      <c r="E395" s="272"/>
      <c r="F395" s="273" t="s">
        <v>611</v>
      </c>
      <c r="G395" s="273">
        <v>347</v>
      </c>
      <c r="H395" s="273">
        <v>103272336</v>
      </c>
      <c r="I395" s="273">
        <v>0</v>
      </c>
      <c r="J395" s="273">
        <v>2389922</v>
      </c>
      <c r="K395" s="273">
        <v>0</v>
      </c>
      <c r="L395" s="273">
        <v>6486536260</v>
      </c>
      <c r="M395" s="273">
        <f t="shared" si="5"/>
        <v>162163407</v>
      </c>
      <c r="N395" s="273">
        <v>0</v>
      </c>
      <c r="P395" s="11"/>
    </row>
    <row r="396" spans="5:16" hidden="1">
      <c r="E396" s="272"/>
      <c r="F396" s="273" t="s">
        <v>612</v>
      </c>
      <c r="G396" s="273">
        <v>348</v>
      </c>
      <c r="H396" s="273">
        <v>271963069</v>
      </c>
      <c r="I396" s="273">
        <v>6104</v>
      </c>
      <c r="J396" s="273">
        <v>6177865</v>
      </c>
      <c r="K396" s="273">
        <v>0</v>
      </c>
      <c r="L396" s="273">
        <v>11236881245</v>
      </c>
      <c r="M396" s="273">
        <f t="shared" si="5"/>
        <v>280922031</v>
      </c>
      <c r="N396" s="273">
        <v>0</v>
      </c>
      <c r="P396" s="11"/>
    </row>
    <row r="397" spans="5:16" hidden="1">
      <c r="E397" s="272"/>
      <c r="F397" s="273" t="s">
        <v>613</v>
      </c>
      <c r="G397" s="273">
        <v>349</v>
      </c>
      <c r="H397" s="273">
        <v>2513328</v>
      </c>
      <c r="I397" s="273">
        <v>0</v>
      </c>
      <c r="J397" s="273">
        <v>12710</v>
      </c>
      <c r="K397" s="273">
        <v>0</v>
      </c>
      <c r="L397" s="273">
        <v>166713849</v>
      </c>
      <c r="M397" s="273">
        <f t="shared" si="5"/>
        <v>4167846</v>
      </c>
      <c r="N397" s="273">
        <v>0</v>
      </c>
      <c r="P397" s="11"/>
    </row>
    <row r="398" spans="5:16" hidden="1">
      <c r="E398" s="272"/>
      <c r="F398" s="273" t="s">
        <v>614</v>
      </c>
      <c r="G398" s="273">
        <v>350</v>
      </c>
      <c r="H398" s="273">
        <v>27609043</v>
      </c>
      <c r="I398" s="273">
        <v>0</v>
      </c>
      <c r="J398" s="273">
        <v>416030</v>
      </c>
      <c r="K398" s="273">
        <v>0</v>
      </c>
      <c r="L398" s="273">
        <v>1958065090</v>
      </c>
      <c r="M398" s="273">
        <f t="shared" si="5"/>
        <v>48951627</v>
      </c>
      <c r="N398" s="273">
        <v>0</v>
      </c>
      <c r="P398" s="11"/>
    </row>
    <row r="399" spans="5:16" hidden="1">
      <c r="E399" s="272"/>
      <c r="F399" s="273" t="s">
        <v>615</v>
      </c>
      <c r="G399" s="273">
        <v>351</v>
      </c>
      <c r="H399" s="273">
        <v>50729963</v>
      </c>
      <c r="I399" s="273">
        <v>0</v>
      </c>
      <c r="J399" s="273">
        <v>208081</v>
      </c>
      <c r="K399" s="273">
        <v>323921</v>
      </c>
      <c r="L399" s="273">
        <v>5469918100</v>
      </c>
      <c r="M399" s="273">
        <f t="shared" si="5"/>
        <v>136747953</v>
      </c>
      <c r="N399" s="273">
        <v>0</v>
      </c>
      <c r="P399" s="11"/>
    </row>
    <row r="400" spans="5:16" hidden="1">
      <c r="E400" s="272"/>
      <c r="F400" s="273" t="s">
        <v>616</v>
      </c>
      <c r="G400" s="273">
        <v>352</v>
      </c>
      <c r="H400" s="273">
        <v>0</v>
      </c>
      <c r="I400" s="273">
        <v>0</v>
      </c>
      <c r="J400" s="273">
        <v>0</v>
      </c>
      <c r="K400" s="273">
        <v>0</v>
      </c>
      <c r="L400" s="273">
        <v>0</v>
      </c>
      <c r="M400" s="273">
        <f t="shared" si="5"/>
        <v>0</v>
      </c>
      <c r="N400" s="273">
        <v>0</v>
      </c>
      <c r="P400" s="11"/>
    </row>
    <row r="401" spans="6:16" hidden="1">
      <c r="F401" s="273" t="s">
        <v>617</v>
      </c>
      <c r="G401" s="273">
        <v>840</v>
      </c>
      <c r="H401" s="273">
        <v>4369730</v>
      </c>
      <c r="I401" s="273">
        <v>0</v>
      </c>
      <c r="J401" s="273">
        <v>358235</v>
      </c>
      <c r="K401" s="273">
        <v>0</v>
      </c>
      <c r="L401" s="273">
        <v>199139700</v>
      </c>
      <c r="M401" s="273">
        <f t="shared" si="5"/>
        <v>4978493</v>
      </c>
      <c r="N401" s="273">
        <v>0</v>
      </c>
      <c r="P401" s="11"/>
    </row>
    <row r="402" spans="6:16">
      <c r="L402" s="273"/>
      <c r="M402" s="273"/>
      <c r="N402" s="273"/>
      <c r="P402" s="11"/>
    </row>
    <row r="403" spans="6:16">
      <c r="L403" s="273"/>
      <c r="P403" s="11"/>
    </row>
    <row r="404" spans="6:16">
      <c r="L404" s="273"/>
      <c r="P404" s="11"/>
    </row>
    <row r="405" spans="6:16">
      <c r="L405" s="273"/>
      <c r="P405" s="11"/>
    </row>
    <row r="406" spans="6:16">
      <c r="L406" s="273"/>
      <c r="P406" s="11"/>
    </row>
    <row r="407" spans="6:16">
      <c r="L407" s="273"/>
      <c r="P407" s="11"/>
    </row>
    <row r="408" spans="6:16">
      <c r="L408" s="273"/>
      <c r="P408" s="11"/>
    </row>
    <row r="409" spans="6:16">
      <c r="L409" s="273"/>
      <c r="P409" s="11"/>
    </row>
    <row r="410" spans="6:16">
      <c r="L410" s="273"/>
      <c r="P410" s="11"/>
    </row>
    <row r="411" spans="6:16">
      <c r="L411" s="273"/>
      <c r="P411" s="11"/>
    </row>
    <row r="412" spans="6:16">
      <c r="L412" s="273"/>
      <c r="P412" s="11"/>
    </row>
    <row r="413" spans="6:16">
      <c r="L413" s="273"/>
      <c r="P413" s="11"/>
    </row>
    <row r="414" spans="6:16">
      <c r="L414" s="273"/>
      <c r="P414" s="11"/>
    </row>
    <row r="415" spans="6:16">
      <c r="L415" s="273"/>
      <c r="P415" s="11"/>
    </row>
    <row r="416" spans="6:16">
      <c r="L416" s="273"/>
      <c r="P416" s="11"/>
    </row>
    <row r="417" spans="12:16">
      <c r="L417" s="273"/>
      <c r="P417" s="11"/>
    </row>
    <row r="418" spans="12:16">
      <c r="L418" s="273"/>
      <c r="P418" s="11"/>
    </row>
    <row r="419" spans="12:16">
      <c r="L419" s="273"/>
      <c r="P419" s="11"/>
    </row>
    <row r="420" spans="12:16">
      <c r="L420" s="273"/>
      <c r="P420" s="11"/>
    </row>
    <row r="421" spans="12:16">
      <c r="L421" s="273"/>
      <c r="P421" s="11"/>
    </row>
    <row r="422" spans="12:16">
      <c r="L422" s="273"/>
      <c r="P422" s="11"/>
    </row>
    <row r="423" spans="12:16">
      <c r="L423" s="273"/>
      <c r="P423" s="11"/>
    </row>
    <row r="424" spans="12:16">
      <c r="L424" s="273"/>
      <c r="P424" s="11"/>
    </row>
    <row r="425" spans="12:16">
      <c r="L425" s="273"/>
      <c r="P425" s="11"/>
    </row>
    <row r="426" spans="12:16">
      <c r="L426" s="273"/>
      <c r="P426" s="11"/>
    </row>
    <row r="427" spans="12:16">
      <c r="L427" s="273"/>
      <c r="P427" s="11"/>
    </row>
    <row r="428" spans="12:16">
      <c r="L428" s="273"/>
      <c r="P428" s="11"/>
    </row>
    <row r="429" spans="12:16">
      <c r="L429" s="273"/>
      <c r="P429" s="11"/>
    </row>
    <row r="430" spans="12:16">
      <c r="L430" s="273"/>
      <c r="P430" s="11"/>
    </row>
    <row r="431" spans="12:16">
      <c r="L431" s="273"/>
      <c r="P431" s="11"/>
    </row>
    <row r="432" spans="12:16">
      <c r="L432" s="273"/>
      <c r="P432" s="11"/>
    </row>
    <row r="433" spans="12:16">
      <c r="L433" s="273"/>
      <c r="P433" s="11"/>
    </row>
    <row r="434" spans="12:16">
      <c r="L434" s="273"/>
      <c r="P434" s="11"/>
    </row>
    <row r="435" spans="12:16">
      <c r="L435" s="273"/>
      <c r="P435" s="11"/>
    </row>
    <row r="436" spans="12:16">
      <c r="L436" s="273"/>
      <c r="P436" s="11"/>
    </row>
    <row r="437" spans="12:16">
      <c r="L437" s="273"/>
      <c r="P437" s="11"/>
    </row>
    <row r="438" spans="12:16">
      <c r="L438" s="273"/>
      <c r="P438" s="11"/>
    </row>
    <row r="439" spans="12:16">
      <c r="L439" s="273"/>
      <c r="P439" s="11"/>
    </row>
  </sheetData>
  <sheetProtection algorithmName="SHA-512" hashValue="8b1vnmTzYH1zfb3884KSxndDu+yEtST8yLUejuZGj+XE84TY0PEz00J0jLvj6S8N3vFMb9wtbugbSy1qJjlY1w==" saltValue="9nDt9uJ3YxUBIJ+waKQIcQ==" spinCount="100000" sheet="1" objects="1" scenarios="1"/>
  <mergeCells count="1"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62"/>
  <sheetViews>
    <sheetView showGridLines="0" zoomScaleNormal="100" workbookViewId="0">
      <selection activeCell="C6" sqref="C6:D6"/>
    </sheetView>
  </sheetViews>
  <sheetFormatPr defaultColWidth="8.85546875" defaultRowHeight="15"/>
  <cols>
    <col min="1" max="1" width="8.85546875" style="11"/>
    <col min="2" max="2" width="20.140625" style="11" customWidth="1"/>
    <col min="3" max="3" width="17.140625" style="11" customWidth="1"/>
    <col min="4" max="4" width="19" style="11" bestFit="1" customWidth="1"/>
    <col min="5" max="5" width="19.7109375" style="11" bestFit="1" customWidth="1"/>
    <col min="6" max="6" width="18.7109375" style="11" customWidth="1"/>
    <col min="7" max="7" width="20.140625" style="11" customWidth="1"/>
    <col min="8" max="11" width="8.85546875" style="11"/>
    <col min="12" max="12" width="0" style="11" hidden="1" customWidth="1"/>
    <col min="13" max="13" width="15" style="11" hidden="1" customWidth="1"/>
    <col min="14" max="14" width="0" style="11" hidden="1" customWidth="1"/>
    <col min="15" max="15" width="16" style="11" hidden="1" customWidth="1"/>
    <col min="16" max="54" width="0" style="11" hidden="1" customWidth="1"/>
    <col min="55" max="16384" width="8.85546875" style="11"/>
  </cols>
  <sheetData>
    <row r="1" spans="1:15" ht="18.75">
      <c r="A1" s="210" t="s">
        <v>187</v>
      </c>
    </row>
    <row r="3" spans="1:15" ht="18.75">
      <c r="B3" s="82" t="s">
        <v>23</v>
      </c>
      <c r="C3" s="126"/>
      <c r="D3" s="126"/>
      <c r="E3" s="131"/>
    </row>
    <row r="4" spans="1:15" ht="18.75">
      <c r="B4" s="82" t="s">
        <v>20</v>
      </c>
      <c r="C4" s="126"/>
      <c r="D4" s="126"/>
      <c r="E4" s="131"/>
      <c r="H4" s="11" t="s">
        <v>0</v>
      </c>
    </row>
    <row r="6" spans="1:15" ht="21" customHeight="1">
      <c r="B6" s="126" t="s">
        <v>21</v>
      </c>
      <c r="C6" s="324">
        <f>'Levy Limit'!E2</f>
        <v>0</v>
      </c>
      <c r="D6" s="325"/>
    </row>
    <row r="7" spans="1:15" s="133" customFormat="1" ht="10.15" customHeight="1">
      <c r="B7" s="134"/>
      <c r="C7" s="11"/>
      <c r="D7" s="11"/>
    </row>
    <row r="8" spans="1:15" ht="21" customHeight="1">
      <c r="B8" s="126" t="s">
        <v>22</v>
      </c>
      <c r="C8" s="223">
        <f>Cur_FY</f>
        <v>2026</v>
      </c>
    </row>
    <row r="10" spans="1:15">
      <c r="B10"/>
      <c r="C10"/>
      <c r="D10"/>
    </row>
    <row r="11" spans="1:15" ht="15.75">
      <c r="A11" s="135"/>
      <c r="B11" s="157" t="s">
        <v>1</v>
      </c>
      <c r="C11" s="158"/>
      <c r="D11" s="159"/>
      <c r="E11" s="136"/>
      <c r="F11" s="136"/>
      <c r="G11" s="136"/>
      <c r="H11" s="136"/>
    </row>
    <row r="12" spans="1:15" ht="15.75">
      <c r="A12" s="135"/>
      <c r="B12" s="202" t="s">
        <v>629</v>
      </c>
      <c r="C12" s="160"/>
      <c r="D12" s="161"/>
      <c r="E12" s="137"/>
      <c r="F12" s="138" t="s">
        <v>2</v>
      </c>
      <c r="G12" s="236">
        <f>totamtraise</f>
        <v>0</v>
      </c>
      <c r="H12" s="136"/>
      <c r="J12" s="11" t="s">
        <v>174</v>
      </c>
    </row>
    <row r="13" spans="1:15" ht="15.75">
      <c r="A13" s="135"/>
      <c r="B13" s="202" t="s">
        <v>630</v>
      </c>
      <c r="C13" s="160"/>
      <c r="D13" s="161"/>
      <c r="E13" s="137"/>
      <c r="F13" s="139"/>
      <c r="G13" s="237">
        <f>totestrcpt</f>
        <v>0</v>
      </c>
      <c r="H13" s="136"/>
    </row>
    <row r="14" spans="1:15" ht="16.5" thickBot="1">
      <c r="A14" s="135"/>
      <c r="B14" s="202" t="s">
        <v>3</v>
      </c>
      <c r="C14" s="160"/>
      <c r="D14" s="161"/>
      <c r="E14" s="137"/>
      <c r="F14" s="138" t="s">
        <v>2</v>
      </c>
      <c r="G14" s="201">
        <f>G12-G13</f>
        <v>0</v>
      </c>
      <c r="H14" s="136"/>
    </row>
    <row r="15" spans="1:15" ht="21" thickTop="1">
      <c r="A15" s="135"/>
      <c r="B15" s="202" t="s">
        <v>4</v>
      </c>
      <c r="C15" s="162"/>
      <c r="D15" s="161"/>
      <c r="E15" s="137"/>
      <c r="F15" s="140"/>
      <c r="G15" s="140"/>
      <c r="H15" s="136"/>
    </row>
    <row r="16" spans="1:15" ht="21" thickBot="1">
      <c r="A16" s="135"/>
      <c r="B16" s="135"/>
      <c r="C16" s="141" t="s">
        <v>0</v>
      </c>
      <c r="D16" s="142"/>
      <c r="E16" s="142"/>
      <c r="F16" s="143"/>
      <c r="G16" s="140"/>
      <c r="H16" s="136"/>
      <c r="O16" s="144"/>
    </row>
    <row r="17" spans="1:17">
      <c r="A17" s="135"/>
      <c r="B17" s="163"/>
      <c r="C17" s="164" t="s">
        <v>5</v>
      </c>
      <c r="D17" s="164" t="s">
        <v>6</v>
      </c>
      <c r="E17" s="164" t="s">
        <v>7</v>
      </c>
      <c r="F17" s="100" t="s">
        <v>8</v>
      </c>
      <c r="G17" s="165" t="s">
        <v>9</v>
      </c>
      <c r="H17" s="136"/>
      <c r="O17" s="145"/>
    </row>
    <row r="18" spans="1:17" ht="57.75" thickBot="1">
      <c r="A18" s="146"/>
      <c r="B18" s="166" t="s">
        <v>10</v>
      </c>
      <c r="C18" s="3" t="s">
        <v>627</v>
      </c>
      <c r="D18" s="50" t="s">
        <v>11</v>
      </c>
      <c r="E18" s="3" t="s">
        <v>628</v>
      </c>
      <c r="F18" s="4" t="s">
        <v>12</v>
      </c>
      <c r="G18" s="5" t="s">
        <v>222</v>
      </c>
      <c r="H18" s="147"/>
      <c r="O18" s="11" t="s">
        <v>235</v>
      </c>
      <c r="P18" s="11" t="s">
        <v>156</v>
      </c>
      <c r="Q18" t="e">
        <f>ROUND(D19/valres*1000,2)</f>
        <v>#VALUE!</v>
      </c>
    </row>
    <row r="19" spans="1:17">
      <c r="A19" s="135"/>
      <c r="B19" s="167" t="s">
        <v>13</v>
      </c>
      <c r="C19" s="228" t="str">
        <f>IF(shiftper=1,optionrespct,resshift)</f>
        <v/>
      </c>
      <c r="D19" s="51" t="e">
        <f>C19*TLEVY</f>
        <v>#VALUE!</v>
      </c>
      <c r="E19" s="224">
        <f>valres</f>
        <v>0</v>
      </c>
      <c r="F19" s="168" t="str">
        <f>IF(valres=0,"",IF(exemrespct&gt;0,"",resrate))</f>
        <v/>
      </c>
      <c r="G19" s="169" t="str">
        <f t="shared" ref="G19:G24" si="0">IF(ISERR(E19*F19)=TRUE,"",ROUND(E19*F19/1000,2))</f>
        <v/>
      </c>
      <c r="H19" s="148"/>
      <c r="O19"/>
      <c r="P19"/>
      <c r="Q19"/>
    </row>
    <row r="20" spans="1:17">
      <c r="A20" s="135"/>
      <c r="B20" s="167" t="s">
        <v>223</v>
      </c>
      <c r="C20" s="229"/>
      <c r="D20" s="52"/>
      <c r="E20" s="224" t="str">
        <f>IF(exemresnew=valres,"",exemresnew)</f>
        <v xml:space="preserve"> </v>
      </c>
      <c r="F20" s="168" t="str">
        <f>IF(exemrespct&gt;0,ShiftRateRes,"")</f>
        <v/>
      </c>
      <c r="G20" s="169" t="str">
        <f>IF(ISERR(E20*F20)=TRUE,"",ROUND(E20*F20/1000,2))</f>
        <v/>
      </c>
      <c r="H20" s="148"/>
      <c r="L20" s="11" t="str">
        <f>exemresnew</f>
        <v xml:space="preserve"> </v>
      </c>
      <c r="O20" s="11" t="s">
        <v>236</v>
      </c>
      <c r="P20" s="11" t="s">
        <v>237</v>
      </c>
      <c r="Q20" s="207" t="str">
        <f>IF(valos=0,"",IF(OR(osdisc&gt;0,exemrespct&gt;0),ROUND(D21/valos*1000,2),F19))</f>
        <v/>
      </c>
    </row>
    <row r="21" spans="1:17">
      <c r="A21" s="135"/>
      <c r="B21" s="170" t="s">
        <v>14</v>
      </c>
      <c r="C21" s="230" t="str">
        <f>IF(shiftper=1,optionospct,opshift)</f>
        <v/>
      </c>
      <c r="D21" s="51" t="e">
        <f>C21*TLEVY</f>
        <v>#VALUE!</v>
      </c>
      <c r="E21" s="224">
        <f>valos</f>
        <v>0</v>
      </c>
      <c r="F21" s="171" t="str">
        <f>IF(valos=0,"",IF(OR(osdisc&gt;0,exemrespct&gt;0),ROUND(D21/valos*1000,2),F19))</f>
        <v/>
      </c>
      <c r="G21" s="169" t="str">
        <f t="shared" si="0"/>
        <v/>
      </c>
      <c r="H21" s="148"/>
      <c r="L21" s="11">
        <f>valres</f>
        <v>0</v>
      </c>
      <c r="O21" s="11" t="s">
        <v>242</v>
      </c>
      <c r="P21" s="11" t="s">
        <v>238</v>
      </c>
      <c r="Q21" t="e">
        <f>ROUND(D22/valcom*1000,2)</f>
        <v>#VALUE!</v>
      </c>
    </row>
    <row r="22" spans="1:17">
      <c r="A22" s="135"/>
      <c r="B22" s="172" t="s">
        <v>15</v>
      </c>
      <c r="C22" s="231" t="str">
        <f>IF(shiftper=1,optioncompct,comshift)</f>
        <v/>
      </c>
      <c r="D22" s="51" t="e">
        <f>C22*TLEVY</f>
        <v>#VALUE!</v>
      </c>
      <c r="E22" s="224">
        <f>valcom</f>
        <v>0</v>
      </c>
      <c r="F22" s="168" t="str">
        <f>IF(valcom=0,"",IF(exemcompct&gt;0,"",comrate))</f>
        <v/>
      </c>
      <c r="G22" s="169" t="str">
        <f t="shared" si="0"/>
        <v/>
      </c>
      <c r="H22" s="148"/>
      <c r="O22"/>
      <c r="P22"/>
      <c r="Q22"/>
    </row>
    <row r="23" spans="1:17">
      <c r="A23" s="135"/>
      <c r="B23" s="167" t="s">
        <v>223</v>
      </c>
      <c r="C23" s="232"/>
      <c r="D23" s="52"/>
      <c r="E23" s="224" t="str">
        <f>IF(exemcinew=valcom+valind, " ",valcom-exemcom)</f>
        <v xml:space="preserve"> </v>
      </c>
      <c r="F23" s="173" t="str">
        <f>IF(exemcompct&gt;0,shiftRateCom," ")</f>
        <v xml:space="preserve"> </v>
      </c>
      <c r="G23" s="169" t="str">
        <f t="shared" si="0"/>
        <v/>
      </c>
      <c r="H23" s="148"/>
      <c r="O23" s="11" t="s">
        <v>239</v>
      </c>
      <c r="P23" s="11" t="s">
        <v>159</v>
      </c>
      <c r="Q23" t="e">
        <f>ROUND(D24/valind*1000,2)</f>
        <v>#VALUE!</v>
      </c>
    </row>
    <row r="24" spans="1:17">
      <c r="A24" s="135"/>
      <c r="B24" s="172" t="s">
        <v>16</v>
      </c>
      <c r="C24" s="233" t="str">
        <f>IF(shiftper=1,optionindpct,indshift)</f>
        <v/>
      </c>
      <c r="D24" s="53" t="e">
        <f>C24*TLEVY</f>
        <v>#VALUE!</v>
      </c>
      <c r="E24" s="227">
        <f>valind</f>
        <v>0</v>
      </c>
      <c r="F24" s="168" t="str">
        <f>IF(valind=0," ",IF(exemcompct&gt;0, F23,F22))</f>
        <v xml:space="preserve"> </v>
      </c>
      <c r="G24" s="174" t="str">
        <f t="shared" si="0"/>
        <v/>
      </c>
      <c r="H24" s="148"/>
      <c r="O24"/>
      <c r="P24"/>
      <c r="Q24"/>
    </row>
    <row r="25" spans="1:17">
      <c r="A25" s="135"/>
      <c r="B25" s="175" t="s">
        <v>17</v>
      </c>
      <c r="C25" s="234">
        <f>SUM(C19:C24)</f>
        <v>0</v>
      </c>
      <c r="D25" s="54"/>
      <c r="E25" s="225">
        <f>E19+E21+E22+E24</f>
        <v>0</v>
      </c>
      <c r="F25" s="2"/>
      <c r="G25" s="64">
        <f>SUM(G19:G24)</f>
        <v>0</v>
      </c>
      <c r="H25" s="148"/>
      <c r="O25" s="11" t="s">
        <v>240</v>
      </c>
      <c r="P25" s="11" t="s">
        <v>241</v>
      </c>
      <c r="Q25" t="e">
        <f>ROUND(D26/valpp*1000,2)</f>
        <v>#VALUE!</v>
      </c>
    </row>
    <row r="26" spans="1:17">
      <c r="A26" s="135"/>
      <c r="B26" s="172" t="s">
        <v>18</v>
      </c>
      <c r="C26" s="233" t="str">
        <f>IF(shiftper=1,optionpppct,ppshift)</f>
        <v/>
      </c>
      <c r="D26" s="51" t="e">
        <f>C26*TLEVY</f>
        <v>#VALUE!</v>
      </c>
      <c r="E26" s="227">
        <f>valpp</f>
        <v>0</v>
      </c>
      <c r="F26" s="171" t="str">
        <f>IF(valpp=0,"",IF(exemcompct&gt;0,ShiftRatePP,F22))</f>
        <v/>
      </c>
      <c r="G26" s="64">
        <f>IF(ISERR(E26*F26)=TRUE,0,ROUND(E26*F26/1000,2))</f>
        <v>0</v>
      </c>
      <c r="H26" s="148"/>
      <c r="Q26" s="206"/>
    </row>
    <row r="27" spans="1:17" ht="15.75" thickBot="1">
      <c r="A27" s="135"/>
      <c r="B27" s="176" t="s">
        <v>19</v>
      </c>
      <c r="C27" s="235">
        <f>SUM(C25:C26)</f>
        <v>0</v>
      </c>
      <c r="D27" s="65"/>
      <c r="E27" s="226">
        <f>E25+E26</f>
        <v>0</v>
      </c>
      <c r="F27" s="65"/>
      <c r="G27" s="66">
        <f>SUM(G25+G26)</f>
        <v>0</v>
      </c>
      <c r="H27" s="136"/>
    </row>
    <row r="28" spans="1:17">
      <c r="B28"/>
      <c r="C28"/>
      <c r="D28"/>
      <c r="E28"/>
      <c r="F28"/>
      <c r="G28"/>
    </row>
    <row r="30" spans="1:17">
      <c r="E30" s="327" t="str">
        <f>IF(TLEVY=TOTLEVY, " ","Line 1C doesn't equal Total Column F")</f>
        <v xml:space="preserve"> </v>
      </c>
      <c r="F30" s="328"/>
      <c r="G30" s="328"/>
      <c r="H30" s="326"/>
    </row>
    <row r="31" spans="1:17">
      <c r="E31" s="328"/>
      <c r="F31" s="328"/>
      <c r="G31" s="328"/>
      <c r="H31" s="326"/>
    </row>
    <row r="32" spans="1:17">
      <c r="A32" s="285" t="s">
        <v>636</v>
      </c>
      <c r="B32" s="149"/>
      <c r="H32" s="326"/>
    </row>
    <row r="38" spans="1:4">
      <c r="D38" s="150"/>
    </row>
    <row r="39" spans="1:4" hidden="1"/>
    <row r="40" spans="1:4" hidden="1"/>
    <row r="41" spans="1:4" hidden="1"/>
    <row r="42" spans="1:4" hidden="1">
      <c r="A42" s="151" t="s">
        <v>177</v>
      </c>
      <c r="B42" s="151"/>
      <c r="C42" s="152"/>
    </row>
    <row r="43" spans="1:4" hidden="1">
      <c r="B43" s="151"/>
      <c r="D43" s="153"/>
    </row>
    <row r="44" spans="1:4" hidden="1">
      <c r="B44" s="151"/>
      <c r="D44" s="153"/>
    </row>
    <row r="45" spans="1:4" hidden="1">
      <c r="B45" s="151"/>
      <c r="D45" s="153"/>
    </row>
    <row r="46" spans="1:4" hidden="1"/>
    <row r="47" spans="1:4" hidden="1">
      <c r="D47" s="145"/>
    </row>
    <row r="48" spans="1:4" hidden="1">
      <c r="D48" s="145"/>
    </row>
    <row r="49" spans="2:5" hidden="1"/>
    <row r="50" spans="2:5" hidden="1">
      <c r="D50" s="145"/>
      <c r="E50" s="154"/>
    </row>
    <row r="51" spans="2:5" hidden="1"/>
    <row r="52" spans="2:5" hidden="1"/>
    <row r="53" spans="2:5">
      <c r="C53" s="155"/>
    </row>
    <row r="62" spans="2:5">
      <c r="B62" s="156"/>
    </row>
  </sheetData>
  <mergeCells count="3">
    <mergeCell ref="C6:D6"/>
    <mergeCell ref="H30:H32"/>
    <mergeCell ref="E30:G3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O60"/>
  <sheetViews>
    <sheetView showGridLines="0" workbookViewId="0">
      <selection activeCell="L4" sqref="L4"/>
    </sheetView>
  </sheetViews>
  <sheetFormatPr defaultColWidth="8.85546875" defaultRowHeight="15.75"/>
  <cols>
    <col min="1" max="2" width="8.85546875" style="11"/>
    <col min="3" max="3" width="9.7109375" style="11" customWidth="1"/>
    <col min="4" max="6" width="8.85546875" style="11"/>
    <col min="7" max="7" width="11.7109375" style="11" customWidth="1"/>
    <col min="8" max="8" width="8.42578125" style="11" customWidth="1"/>
    <col min="9" max="9" width="8.85546875" style="11"/>
    <col min="10" max="10" width="3.42578125" style="11" customWidth="1"/>
    <col min="11" max="11" width="16.7109375" style="195" customWidth="1"/>
    <col min="12" max="12" width="16.7109375" style="11" customWidth="1"/>
    <col min="13" max="16384" width="8.85546875" style="11"/>
  </cols>
  <sheetData>
    <row r="1" spans="1:12" ht="18.75">
      <c r="A1" s="82" t="s">
        <v>133</v>
      </c>
      <c r="B1"/>
      <c r="C1"/>
      <c r="D1"/>
      <c r="E1"/>
      <c r="F1"/>
      <c r="G1"/>
      <c r="H1"/>
    </row>
    <row r="2" spans="1:12">
      <c r="A2" s="132" t="s">
        <v>24</v>
      </c>
      <c r="B2"/>
      <c r="C2"/>
      <c r="D2"/>
      <c r="E2"/>
      <c r="F2"/>
      <c r="G2"/>
      <c r="H2"/>
    </row>
    <row r="3" spans="1:12">
      <c r="A3"/>
      <c r="B3"/>
      <c r="C3"/>
      <c r="D3"/>
      <c r="E3"/>
      <c r="F3"/>
      <c r="G3"/>
      <c r="H3"/>
    </row>
    <row r="4" spans="1:12" ht="16.5" thickBot="1">
      <c r="A4"/>
      <c r="B4" s="126" t="s">
        <v>207</v>
      </c>
      <c r="C4"/>
      <c r="D4"/>
      <c r="E4"/>
      <c r="F4"/>
      <c r="G4"/>
      <c r="H4"/>
      <c r="K4" s="11"/>
      <c r="L4" s="196">
        <f>TOTAPPROP</f>
        <v>0</v>
      </c>
    </row>
    <row r="5" spans="1:12" ht="5.25" customHeight="1">
      <c r="A5"/>
      <c r="B5"/>
      <c r="C5"/>
      <c r="D5"/>
      <c r="E5"/>
      <c r="F5"/>
      <c r="G5"/>
      <c r="H5"/>
    </row>
    <row r="6" spans="1:12">
      <c r="A6"/>
      <c r="B6" s="126" t="s">
        <v>25</v>
      </c>
      <c r="C6"/>
      <c r="D6"/>
      <c r="E6"/>
      <c r="F6"/>
      <c r="G6"/>
      <c r="H6"/>
    </row>
    <row r="7" spans="1:12">
      <c r="A7"/>
      <c r="B7"/>
      <c r="C7" t="s">
        <v>26</v>
      </c>
      <c r="D7"/>
      <c r="E7"/>
      <c r="F7"/>
      <c r="G7"/>
      <c r="H7"/>
      <c r="K7" s="197">
        <v>0</v>
      </c>
    </row>
    <row r="8" spans="1:12">
      <c r="A8"/>
      <c r="B8"/>
      <c r="C8" t="s">
        <v>27</v>
      </c>
      <c r="D8"/>
      <c r="E8"/>
      <c r="F8"/>
      <c r="G8"/>
      <c r="H8"/>
      <c r="K8" s="197">
        <v>0</v>
      </c>
    </row>
    <row r="9" spans="1:12">
      <c r="A9"/>
      <c r="B9"/>
      <c r="C9" t="s">
        <v>208</v>
      </c>
      <c r="D9"/>
      <c r="E9"/>
      <c r="F9"/>
      <c r="G9"/>
      <c r="H9"/>
      <c r="K9" s="197">
        <v>0</v>
      </c>
    </row>
    <row r="10" spans="1:12">
      <c r="A10"/>
      <c r="B10"/>
      <c r="C10" t="s">
        <v>633</v>
      </c>
      <c r="D10"/>
      <c r="E10"/>
      <c r="F10"/>
      <c r="G10"/>
      <c r="H10"/>
      <c r="K10" s="197">
        <v>0</v>
      </c>
    </row>
    <row r="11" spans="1:12">
      <c r="A11"/>
      <c r="B11"/>
      <c r="C11" t="s">
        <v>28</v>
      </c>
      <c r="D11"/>
      <c r="E11"/>
      <c r="F11"/>
      <c r="G11"/>
      <c r="H11"/>
      <c r="K11" s="197">
        <v>0</v>
      </c>
    </row>
    <row r="12" spans="1:12">
      <c r="A12"/>
      <c r="B12"/>
      <c r="C12" t="s">
        <v>29</v>
      </c>
      <c r="D12"/>
      <c r="E12"/>
      <c r="F12"/>
      <c r="G12"/>
      <c r="H12"/>
      <c r="K12" s="197">
        <v>0</v>
      </c>
    </row>
    <row r="13" spans="1:12" ht="15.75" customHeight="1">
      <c r="A13"/>
      <c r="B13"/>
      <c r="C13" t="s">
        <v>30</v>
      </c>
      <c r="D13"/>
      <c r="E13"/>
      <c r="F13"/>
      <c r="G13"/>
      <c r="H13"/>
      <c r="K13" s="197">
        <v>0</v>
      </c>
    </row>
    <row r="14" spans="1:12">
      <c r="A14"/>
      <c r="B14"/>
      <c r="C14" t="s">
        <v>31</v>
      </c>
      <c r="D14"/>
      <c r="E14"/>
      <c r="F14"/>
      <c r="G14"/>
      <c r="H14"/>
      <c r="K14" s="197">
        <v>0</v>
      </c>
    </row>
    <row r="15" spans="1:12">
      <c r="A15"/>
      <c r="B15"/>
      <c r="C15" t="s">
        <v>32</v>
      </c>
      <c r="D15"/>
      <c r="E15"/>
      <c r="F15"/>
      <c r="G15"/>
      <c r="H15"/>
      <c r="J15" s="11" t="s">
        <v>0</v>
      </c>
      <c r="K15" s="197">
        <v>0</v>
      </c>
    </row>
    <row r="16" spans="1:12">
      <c r="A16"/>
      <c r="B16"/>
      <c r="C16" t="s">
        <v>136</v>
      </c>
      <c r="D16" s="329"/>
      <c r="E16" s="330"/>
      <c r="F16" s="330"/>
      <c r="G16" s="330"/>
      <c r="H16" s="331"/>
      <c r="K16" s="197">
        <v>0</v>
      </c>
    </row>
    <row r="17" spans="1:15" ht="4.1500000000000004" customHeight="1">
      <c r="A17"/>
      <c r="B17"/>
      <c r="C17"/>
      <c r="D17"/>
      <c r="E17"/>
      <c r="F17"/>
      <c r="G17"/>
      <c r="H17"/>
      <c r="K17" s="198"/>
    </row>
    <row r="18" spans="1:15" ht="16.5" thickBot="1">
      <c r="A18"/>
      <c r="B18"/>
      <c r="C18" s="126" t="s">
        <v>33</v>
      </c>
      <c r="D18"/>
      <c r="E18"/>
      <c r="F18"/>
      <c r="G18"/>
      <c r="H18"/>
      <c r="K18" s="11"/>
      <c r="L18" s="196">
        <f>SUM(K7:K16)</f>
        <v>0</v>
      </c>
    </row>
    <row r="19" spans="1:15" ht="9" customHeight="1">
      <c r="A19"/>
      <c r="B19"/>
      <c r="C19"/>
      <c r="D19"/>
      <c r="E19"/>
      <c r="F19"/>
      <c r="G19"/>
      <c r="H19"/>
    </row>
    <row r="20" spans="1:15">
      <c r="A20"/>
      <c r="B20" s="126" t="s">
        <v>34</v>
      </c>
      <c r="C20"/>
      <c r="D20"/>
      <c r="E20"/>
      <c r="F20"/>
      <c r="G20"/>
      <c r="H20"/>
      <c r="K20" s="11"/>
      <c r="L20" s="197">
        <v>0</v>
      </c>
    </row>
    <row r="21" spans="1:15">
      <c r="A21"/>
      <c r="B21" s="126" t="s">
        <v>35</v>
      </c>
      <c r="C21"/>
      <c r="D21"/>
      <c r="E21"/>
      <c r="F21"/>
      <c r="G21"/>
      <c r="H21"/>
      <c r="K21" s="11"/>
      <c r="L21" s="197">
        <v>0</v>
      </c>
    </row>
    <row r="22" spans="1:15" ht="16.5" thickBot="1">
      <c r="A22"/>
      <c r="B22" s="126" t="s">
        <v>36</v>
      </c>
      <c r="C22"/>
      <c r="D22"/>
      <c r="E22"/>
      <c r="F22"/>
      <c r="G22"/>
      <c r="H22"/>
      <c r="K22" s="122"/>
      <c r="L22" s="199">
        <f>SUM(L18:L21)+(L4)</f>
        <v>0</v>
      </c>
    </row>
    <row r="23" spans="1:15" ht="3.75" customHeight="1" thickTop="1">
      <c r="A23"/>
      <c r="B23"/>
      <c r="C23"/>
      <c r="D23"/>
      <c r="E23"/>
      <c r="F23"/>
      <c r="G23"/>
      <c r="H23"/>
    </row>
    <row r="24" spans="1:15">
      <c r="A24" s="132" t="s">
        <v>37</v>
      </c>
      <c r="B24"/>
      <c r="C24"/>
      <c r="D24"/>
      <c r="E24"/>
      <c r="F24"/>
      <c r="G24"/>
      <c r="H24"/>
    </row>
    <row r="25" spans="1:15" ht="6.75" customHeight="1">
      <c r="A25"/>
      <c r="B25"/>
      <c r="C25"/>
      <c r="D25"/>
      <c r="E25"/>
      <c r="F25"/>
      <c r="G25"/>
      <c r="H25"/>
      <c r="O25" s="11" t="s">
        <v>166</v>
      </c>
    </row>
    <row r="26" spans="1:15">
      <c r="A26"/>
      <c r="B26" s="126" t="s">
        <v>38</v>
      </c>
      <c r="C26"/>
      <c r="D26"/>
      <c r="E26"/>
      <c r="F26"/>
      <c r="G26"/>
      <c r="H26"/>
    </row>
    <row r="27" spans="1:15">
      <c r="A27"/>
      <c r="B27"/>
      <c r="C27" t="s">
        <v>39</v>
      </c>
      <c r="D27"/>
      <c r="E27"/>
      <c r="F27"/>
      <c r="G27"/>
      <c r="H27"/>
      <c r="K27" s="197">
        <v>0</v>
      </c>
    </row>
    <row r="28" spans="1:15">
      <c r="A28"/>
      <c r="B28"/>
      <c r="C28" t="s">
        <v>209</v>
      </c>
      <c r="D28"/>
      <c r="E28"/>
      <c r="F28"/>
      <c r="G28"/>
      <c r="H28"/>
      <c r="K28" s="197">
        <v>0</v>
      </c>
    </row>
    <row r="29" spans="1:15" ht="16.5" thickBot="1">
      <c r="A29"/>
      <c r="B29"/>
      <c r="C29" s="126" t="s">
        <v>40</v>
      </c>
      <c r="D29"/>
      <c r="E29"/>
      <c r="F29"/>
      <c r="G29"/>
      <c r="H29"/>
      <c r="K29" s="11"/>
      <c r="L29" s="196">
        <f>SUM(K27:K28)</f>
        <v>0</v>
      </c>
    </row>
    <row r="30" spans="1:15" ht="6.75" customHeight="1">
      <c r="A30"/>
      <c r="B30"/>
      <c r="C30"/>
      <c r="D30"/>
      <c r="E30"/>
      <c r="F30"/>
      <c r="G30"/>
      <c r="H30"/>
    </row>
    <row r="31" spans="1:15">
      <c r="A31"/>
      <c r="B31" s="126" t="s">
        <v>41</v>
      </c>
      <c r="C31"/>
      <c r="D31"/>
      <c r="E31"/>
      <c r="F31"/>
      <c r="G31"/>
      <c r="H31"/>
    </row>
    <row r="32" spans="1:15">
      <c r="A32"/>
      <c r="B32"/>
      <c r="C32" t="s">
        <v>42</v>
      </c>
      <c r="D32"/>
      <c r="E32"/>
      <c r="F32"/>
      <c r="G32"/>
      <c r="H32"/>
      <c r="K32" s="200">
        <f>ESTREC</f>
        <v>0</v>
      </c>
    </row>
    <row r="33" spans="1:12">
      <c r="A33"/>
      <c r="B33"/>
      <c r="C33" t="s">
        <v>43</v>
      </c>
      <c r="D33"/>
      <c r="E33"/>
      <c r="F33"/>
      <c r="G33"/>
      <c r="H33"/>
      <c r="K33" s="197">
        <v>0</v>
      </c>
    </row>
    <row r="34" spans="1:12">
      <c r="A34"/>
      <c r="B34"/>
      <c r="C34" t="s">
        <v>44</v>
      </c>
      <c r="D34"/>
      <c r="E34"/>
      <c r="F34"/>
      <c r="G34"/>
      <c r="H34"/>
      <c r="K34" s="197">
        <v>0</v>
      </c>
    </row>
    <row r="35" spans="1:12">
      <c r="A35"/>
      <c r="B35"/>
      <c r="C35" t="s">
        <v>210</v>
      </c>
      <c r="D35"/>
      <c r="E35"/>
      <c r="F35"/>
      <c r="G35"/>
      <c r="H35"/>
      <c r="K35" s="197">
        <v>0</v>
      </c>
    </row>
    <row r="36" spans="1:12" ht="16.5" thickBot="1">
      <c r="A36"/>
      <c r="B36"/>
      <c r="C36" s="126" t="s">
        <v>45</v>
      </c>
      <c r="D36"/>
      <c r="E36"/>
      <c r="F36"/>
      <c r="G36"/>
      <c r="H36"/>
      <c r="K36" s="11"/>
      <c r="L36" s="196">
        <f>SUM(K32:K35)</f>
        <v>0</v>
      </c>
    </row>
    <row r="37" spans="1:12" ht="7.5" customHeight="1">
      <c r="A37"/>
      <c r="B37"/>
      <c r="C37"/>
      <c r="D37"/>
      <c r="E37"/>
      <c r="F37"/>
      <c r="G37"/>
      <c r="H37"/>
    </row>
    <row r="38" spans="1:12">
      <c r="A38"/>
      <c r="B38" s="126" t="s">
        <v>46</v>
      </c>
      <c r="C38"/>
      <c r="D38"/>
      <c r="E38"/>
      <c r="F38"/>
      <c r="G38"/>
      <c r="H38"/>
    </row>
    <row r="39" spans="1:12" ht="4.5" customHeight="1">
      <c r="A39"/>
      <c r="B39"/>
      <c r="C39"/>
      <c r="D39"/>
      <c r="E39"/>
      <c r="F39"/>
      <c r="G39"/>
      <c r="H39"/>
    </row>
    <row r="40" spans="1:12">
      <c r="A40"/>
      <c r="B40"/>
      <c r="C40" t="s">
        <v>47</v>
      </c>
      <c r="D40"/>
      <c r="E40"/>
      <c r="F40"/>
      <c r="G40"/>
      <c r="H40"/>
      <c r="K40" s="200">
        <f>FREECASHTOT</f>
        <v>0</v>
      </c>
    </row>
    <row r="41" spans="1:12">
      <c r="A41"/>
      <c r="B41"/>
      <c r="C41" t="s">
        <v>48</v>
      </c>
      <c r="D41"/>
      <c r="E41"/>
      <c r="F41"/>
      <c r="G41"/>
      <c r="H41"/>
      <c r="K41" s="200">
        <f>OTHERAVAILTOT</f>
        <v>0</v>
      </c>
    </row>
    <row r="42" spans="1:12" ht="16.5" thickBot="1">
      <c r="A42"/>
      <c r="B42"/>
      <c r="C42" s="126" t="s">
        <v>49</v>
      </c>
      <c r="D42"/>
      <c r="E42"/>
      <c r="F42"/>
      <c r="G42"/>
      <c r="H42"/>
      <c r="K42" s="11"/>
      <c r="L42" s="196">
        <f>SUM(K38:K41)</f>
        <v>0</v>
      </c>
    </row>
    <row r="43" spans="1:12" ht="8.25" customHeight="1">
      <c r="A43"/>
      <c r="B43"/>
      <c r="C43"/>
      <c r="D43"/>
      <c r="E43"/>
      <c r="F43"/>
      <c r="G43"/>
      <c r="H43"/>
    </row>
    <row r="44" spans="1:12">
      <c r="A44"/>
      <c r="B44" s="126" t="s">
        <v>50</v>
      </c>
      <c r="C44"/>
      <c r="D44"/>
      <c r="E44"/>
      <c r="F44"/>
      <c r="G44"/>
      <c r="H44"/>
    </row>
    <row r="45" spans="1:12">
      <c r="A45"/>
      <c r="B45"/>
      <c r="C45" t="s">
        <v>211</v>
      </c>
      <c r="D45"/>
      <c r="E45"/>
      <c r="F45"/>
      <c r="G45"/>
      <c r="H45" s="238"/>
      <c r="K45" s="197">
        <v>0</v>
      </c>
    </row>
    <row r="46" spans="1:12">
      <c r="A46"/>
      <c r="B46"/>
      <c r="C46" t="s">
        <v>234</v>
      </c>
      <c r="D46"/>
      <c r="E46"/>
      <c r="F46"/>
      <c r="G46"/>
      <c r="H46" s="238"/>
      <c r="K46" s="197">
        <v>0</v>
      </c>
    </row>
    <row r="47" spans="1:12">
      <c r="A47"/>
      <c r="B47"/>
      <c r="C47" t="s">
        <v>634</v>
      </c>
      <c r="D47"/>
      <c r="E47"/>
      <c r="F47"/>
      <c r="G47"/>
      <c r="H47"/>
      <c r="K47" s="197">
        <v>0</v>
      </c>
    </row>
    <row r="48" spans="1:12">
      <c r="A48"/>
      <c r="B48"/>
      <c r="C48" t="s">
        <v>212</v>
      </c>
      <c r="D48"/>
      <c r="E48" s="329"/>
      <c r="F48" s="330"/>
      <c r="G48" s="330"/>
      <c r="H48" s="331"/>
      <c r="K48" s="197">
        <v>0</v>
      </c>
    </row>
    <row r="49" spans="1:12" ht="16.5" thickBot="1">
      <c r="A49"/>
      <c r="B49"/>
      <c r="C49" s="126" t="s">
        <v>51</v>
      </c>
      <c r="D49"/>
      <c r="E49"/>
      <c r="F49"/>
      <c r="G49"/>
      <c r="H49"/>
      <c r="K49" s="11"/>
      <c r="L49" s="196">
        <f>SUM(K45:K48)</f>
        <v>0</v>
      </c>
    </row>
    <row r="50" spans="1:12" ht="6.75" customHeight="1">
      <c r="A50"/>
      <c r="B50"/>
      <c r="C50"/>
      <c r="D50"/>
      <c r="E50"/>
      <c r="F50"/>
      <c r="G50"/>
      <c r="H50"/>
    </row>
    <row r="51" spans="1:12">
      <c r="A51"/>
      <c r="B51" s="126" t="s">
        <v>52</v>
      </c>
      <c r="C51"/>
      <c r="D51"/>
      <c r="E51"/>
      <c r="F51"/>
      <c r="G51"/>
      <c r="H51"/>
    </row>
    <row r="52" spans="1:12" ht="16.5" thickBot="1">
      <c r="A52"/>
      <c r="B52"/>
      <c r="C52" s="126" t="s">
        <v>134</v>
      </c>
      <c r="D52"/>
      <c r="E52"/>
      <c r="F52"/>
      <c r="G52"/>
      <c r="H52"/>
      <c r="K52" s="11"/>
      <c r="L52" s="199">
        <f>SUM(L29+L36+L42+L49)</f>
        <v>0</v>
      </c>
    </row>
    <row r="53" spans="1:12" ht="7.5" customHeight="1" thickTop="1">
      <c r="A53"/>
      <c r="B53"/>
      <c r="C53"/>
      <c r="D53"/>
      <c r="E53"/>
      <c r="F53"/>
      <c r="G53"/>
      <c r="H53"/>
    </row>
    <row r="54" spans="1:12">
      <c r="A54" s="126" t="s">
        <v>53</v>
      </c>
      <c r="B54"/>
      <c r="C54"/>
      <c r="D54"/>
      <c r="E54"/>
      <c r="F54"/>
      <c r="G54"/>
      <c r="H54"/>
    </row>
    <row r="55" spans="1:12" ht="6.75" customHeight="1">
      <c r="A55"/>
      <c r="B55"/>
      <c r="C55"/>
      <c r="D55"/>
      <c r="E55"/>
      <c r="F55"/>
      <c r="G55"/>
      <c r="H55"/>
    </row>
    <row r="56" spans="1:12" ht="16.5" thickBot="1">
      <c r="A56"/>
      <c r="B56"/>
      <c r="C56" t="s">
        <v>54</v>
      </c>
      <c r="D56"/>
      <c r="E56"/>
      <c r="F56"/>
      <c r="G56"/>
      <c r="H56"/>
      <c r="K56" s="11"/>
      <c r="L56" s="199">
        <f>SUM(totamtraise)</f>
        <v>0</v>
      </c>
    </row>
    <row r="57" spans="1:12" ht="16.5" thickTop="1">
      <c r="A57"/>
      <c r="B57"/>
      <c r="C57" t="s">
        <v>135</v>
      </c>
      <c r="D57"/>
      <c r="E57"/>
      <c r="F57"/>
      <c r="G57"/>
      <c r="H57"/>
      <c r="K57" s="200">
        <f>SUM(totestrcpt)</f>
        <v>0</v>
      </c>
    </row>
    <row r="58" spans="1:12">
      <c r="A58"/>
      <c r="B58"/>
      <c r="C58" t="s">
        <v>55</v>
      </c>
      <c r="D58"/>
      <c r="E58"/>
      <c r="F58"/>
      <c r="G58"/>
      <c r="H58"/>
      <c r="K58" s="200">
        <f>TLEVY</f>
        <v>0</v>
      </c>
    </row>
    <row r="59" spans="1:12" ht="16.5" thickBot="1">
      <c r="A59"/>
      <c r="B59"/>
      <c r="C59" t="s">
        <v>56</v>
      </c>
      <c r="D59"/>
      <c r="E59"/>
      <c r="F59"/>
      <c r="G59"/>
      <c r="H59"/>
      <c r="K59" s="11"/>
      <c r="L59" s="199">
        <f>SUM(K57:K58)</f>
        <v>0</v>
      </c>
    </row>
    <row r="60" spans="1:12" ht="16.5" thickTop="1"/>
  </sheetData>
  <mergeCells count="2">
    <mergeCell ref="D16:H16"/>
    <mergeCell ref="E48:H48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L44"/>
  <sheetViews>
    <sheetView showGridLines="0" workbookViewId="0">
      <selection activeCell="H8" sqref="H8"/>
    </sheetView>
  </sheetViews>
  <sheetFormatPr defaultColWidth="8.85546875" defaultRowHeight="15"/>
  <cols>
    <col min="1" max="2" width="8.85546875" style="11"/>
    <col min="3" max="3" width="11.42578125" style="11" customWidth="1"/>
    <col min="4" max="4" width="10.42578125" style="11" customWidth="1"/>
    <col min="5" max="7" width="8.85546875" style="11"/>
    <col min="8" max="8" width="14.85546875" style="11" customWidth="1"/>
    <col min="9" max="9" width="5.7109375" style="11" customWidth="1"/>
    <col min="10" max="10" width="14.85546875" style="11" customWidth="1"/>
    <col min="11" max="16384" width="8.85546875" style="11"/>
  </cols>
  <sheetData>
    <row r="1" spans="1:10" ht="18.75">
      <c r="A1" s="82" t="s">
        <v>126</v>
      </c>
      <c r="B1" s="82" t="s">
        <v>127</v>
      </c>
      <c r="C1"/>
      <c r="D1"/>
      <c r="E1"/>
    </row>
    <row r="3" spans="1:10">
      <c r="H3" s="126" t="s">
        <v>57</v>
      </c>
      <c r="I3" s="126"/>
      <c r="J3" s="126" t="s">
        <v>58</v>
      </c>
    </row>
    <row r="4" spans="1:10">
      <c r="H4" s="127" t="s">
        <v>59</v>
      </c>
      <c r="I4" s="126"/>
      <c r="J4" s="128" t="s">
        <v>132</v>
      </c>
    </row>
    <row r="5" spans="1:10">
      <c r="H5" s="127" t="s">
        <v>60</v>
      </c>
      <c r="I5" s="126"/>
      <c r="J5" s="128" t="s">
        <v>60</v>
      </c>
    </row>
    <row r="6" spans="1:10">
      <c r="H6" s="283" t="s">
        <v>635</v>
      </c>
      <c r="I6" s="126"/>
      <c r="J6" s="284" t="s">
        <v>637</v>
      </c>
    </row>
    <row r="7" spans="1:10">
      <c r="B7"/>
      <c r="C7"/>
      <c r="D7"/>
      <c r="E7"/>
      <c r="F7"/>
    </row>
    <row r="8" spans="1:10" ht="15.75">
      <c r="B8"/>
      <c r="C8" t="s">
        <v>61</v>
      </c>
      <c r="D8"/>
      <c r="E8"/>
      <c r="F8"/>
      <c r="G8" s="122" t="s">
        <v>62</v>
      </c>
      <c r="H8" s="197">
        <v>0</v>
      </c>
      <c r="I8" s="122" t="s">
        <v>2</v>
      </c>
      <c r="J8" s="197">
        <v>0</v>
      </c>
    </row>
    <row r="9" spans="1:10" ht="15.75">
      <c r="B9"/>
      <c r="C9" t="s">
        <v>63</v>
      </c>
      <c r="D9"/>
      <c r="E9"/>
      <c r="F9"/>
      <c r="H9" s="195"/>
      <c r="J9" s="195"/>
    </row>
    <row r="10" spans="1:10" ht="15.75">
      <c r="B10"/>
      <c r="C10"/>
      <c r="D10" t="s">
        <v>128</v>
      </c>
      <c r="E10"/>
      <c r="F10"/>
      <c r="H10" s="197">
        <v>0</v>
      </c>
      <c r="J10" s="197">
        <v>0</v>
      </c>
    </row>
    <row r="11" spans="1:10" ht="15.75">
      <c r="B11"/>
      <c r="C11"/>
      <c r="D11" t="s">
        <v>129</v>
      </c>
      <c r="E11"/>
      <c r="F11"/>
      <c r="H11" s="197">
        <v>0</v>
      </c>
      <c r="J11" s="197">
        <v>0</v>
      </c>
    </row>
    <row r="12" spans="1:10" ht="15.75">
      <c r="B12"/>
      <c r="C12"/>
      <c r="D12" t="s">
        <v>130</v>
      </c>
      <c r="E12"/>
      <c r="F12"/>
      <c r="H12" s="197">
        <v>0</v>
      </c>
      <c r="J12" s="197">
        <v>0</v>
      </c>
    </row>
    <row r="13" spans="1:10" ht="15.75">
      <c r="B13"/>
      <c r="C13"/>
      <c r="D13" t="s">
        <v>131</v>
      </c>
      <c r="E13"/>
      <c r="F13"/>
      <c r="H13" s="197">
        <v>0</v>
      </c>
      <c r="J13" s="197">
        <v>0</v>
      </c>
    </row>
    <row r="14" spans="1:10" ht="15.75">
      <c r="B14"/>
      <c r="C14" t="s">
        <v>64</v>
      </c>
      <c r="D14"/>
      <c r="E14"/>
      <c r="F14"/>
      <c r="H14" s="197">
        <v>0</v>
      </c>
      <c r="J14" s="197">
        <v>0</v>
      </c>
    </row>
    <row r="15" spans="1:10" ht="15.75">
      <c r="B15"/>
      <c r="C15" t="s">
        <v>65</v>
      </c>
      <c r="D15"/>
      <c r="E15"/>
      <c r="F15"/>
      <c r="H15" s="197">
        <v>0</v>
      </c>
      <c r="J15" s="197">
        <v>0</v>
      </c>
    </row>
    <row r="16" spans="1:10" ht="15.75">
      <c r="B16"/>
      <c r="C16" t="s">
        <v>66</v>
      </c>
      <c r="D16"/>
      <c r="E16"/>
      <c r="F16"/>
      <c r="H16" s="197">
        <v>0</v>
      </c>
      <c r="J16" s="197">
        <v>0</v>
      </c>
    </row>
    <row r="17" spans="2:10" ht="15.75">
      <c r="B17"/>
      <c r="C17" t="s">
        <v>67</v>
      </c>
      <c r="D17"/>
      <c r="E17"/>
      <c r="F17"/>
      <c r="H17" s="197">
        <v>0</v>
      </c>
      <c r="J17" s="197">
        <v>0</v>
      </c>
    </row>
    <row r="18" spans="2:10" ht="15.75">
      <c r="B18"/>
      <c r="C18" t="s">
        <v>68</v>
      </c>
      <c r="D18"/>
      <c r="E18"/>
      <c r="F18"/>
      <c r="H18" s="197">
        <v>0</v>
      </c>
      <c r="J18" s="197">
        <v>0</v>
      </c>
    </row>
    <row r="19" spans="2:10" ht="15.75">
      <c r="B19"/>
      <c r="C19" t="s">
        <v>224</v>
      </c>
      <c r="D19"/>
      <c r="E19"/>
      <c r="F19"/>
      <c r="H19" s="197">
        <v>0</v>
      </c>
      <c r="J19" s="197">
        <v>0</v>
      </c>
    </row>
    <row r="20" spans="2:10" ht="15.75">
      <c r="B20"/>
      <c r="C20" t="s">
        <v>69</v>
      </c>
      <c r="D20"/>
      <c r="E20"/>
      <c r="F20"/>
      <c r="H20" s="197">
        <v>0</v>
      </c>
      <c r="J20" s="197">
        <v>0</v>
      </c>
    </row>
    <row r="21" spans="2:10" ht="15.75">
      <c r="B21"/>
      <c r="C21" t="s">
        <v>70</v>
      </c>
      <c r="D21"/>
      <c r="E21"/>
      <c r="F21"/>
      <c r="H21" s="197">
        <v>0</v>
      </c>
      <c r="J21" s="197">
        <v>0</v>
      </c>
    </row>
    <row r="22" spans="2:10" ht="15.75">
      <c r="B22"/>
      <c r="C22" s="125" t="s">
        <v>206</v>
      </c>
      <c r="D22"/>
      <c r="E22"/>
      <c r="F22"/>
      <c r="H22" s="197">
        <v>0</v>
      </c>
      <c r="J22" s="197">
        <v>0</v>
      </c>
    </row>
    <row r="23" spans="2:10" ht="15.75">
      <c r="B23"/>
      <c r="C23" s="125" t="s">
        <v>632</v>
      </c>
      <c r="D23"/>
      <c r="E23"/>
      <c r="F23"/>
      <c r="H23" s="197">
        <v>0</v>
      </c>
      <c r="J23" s="197">
        <v>0</v>
      </c>
    </row>
    <row r="24" spans="2:10" ht="15.75">
      <c r="B24"/>
      <c r="C24" t="s">
        <v>71</v>
      </c>
      <c r="D24"/>
      <c r="E24"/>
      <c r="F24"/>
      <c r="H24" s="197">
        <v>0</v>
      </c>
      <c r="J24" s="197">
        <v>0</v>
      </c>
    </row>
    <row r="25" spans="2:10" ht="15.75">
      <c r="B25"/>
      <c r="C25" t="s">
        <v>72</v>
      </c>
      <c r="D25"/>
      <c r="E25"/>
      <c r="F25"/>
      <c r="H25" s="197">
        <v>0</v>
      </c>
      <c r="J25" s="197">
        <v>0</v>
      </c>
    </row>
    <row r="26" spans="2:10" ht="15.75">
      <c r="B26"/>
      <c r="C26" t="s">
        <v>73</v>
      </c>
      <c r="D26"/>
      <c r="E26"/>
      <c r="F26"/>
      <c r="H26" s="197">
        <v>0</v>
      </c>
      <c r="J26" s="197">
        <v>0</v>
      </c>
    </row>
    <row r="27" spans="2:10" ht="15.75">
      <c r="B27"/>
      <c r="C27" t="s">
        <v>74</v>
      </c>
      <c r="D27"/>
      <c r="E27"/>
      <c r="F27"/>
      <c r="H27" s="197">
        <v>0</v>
      </c>
      <c r="J27" s="197">
        <v>0</v>
      </c>
    </row>
    <row r="28" spans="2:10" ht="15.75">
      <c r="B28"/>
      <c r="C28" t="s">
        <v>75</v>
      </c>
      <c r="D28"/>
      <c r="E28"/>
      <c r="F28"/>
      <c r="H28" s="197">
        <v>0</v>
      </c>
      <c r="J28" s="197">
        <v>0</v>
      </c>
    </row>
    <row r="29" spans="2:10" ht="15.75">
      <c r="B29"/>
      <c r="C29" t="s">
        <v>76</v>
      </c>
      <c r="D29"/>
      <c r="E29"/>
      <c r="F29"/>
      <c r="H29" s="197">
        <v>0</v>
      </c>
      <c r="J29" s="197">
        <v>0</v>
      </c>
    </row>
    <row r="30" spans="2:10" ht="15.75">
      <c r="B30"/>
      <c r="C30" t="s">
        <v>77</v>
      </c>
      <c r="D30"/>
      <c r="E30"/>
      <c r="F30"/>
      <c r="H30" s="197">
        <v>0</v>
      </c>
      <c r="J30" s="197">
        <v>0</v>
      </c>
    </row>
    <row r="31" spans="2:10" ht="15.75">
      <c r="B31"/>
      <c r="C31" t="s">
        <v>78</v>
      </c>
      <c r="D31"/>
      <c r="E31"/>
      <c r="F31"/>
      <c r="H31" s="197">
        <v>0</v>
      </c>
      <c r="J31" s="197">
        <v>0</v>
      </c>
    </row>
    <row r="32" spans="2:10" ht="15.75">
      <c r="B32"/>
      <c r="C32" t="s">
        <v>79</v>
      </c>
      <c r="D32"/>
      <c r="E32"/>
      <c r="F32"/>
      <c r="H32" s="197">
        <v>0</v>
      </c>
      <c r="J32" s="197">
        <v>0</v>
      </c>
    </row>
    <row r="33" spans="2:12" ht="15.75">
      <c r="B33"/>
      <c r="C33" t="s">
        <v>80</v>
      </c>
      <c r="D33"/>
      <c r="E33"/>
      <c r="F33"/>
      <c r="H33" s="197">
        <v>0</v>
      </c>
      <c r="J33" s="197">
        <v>0</v>
      </c>
    </row>
    <row r="34" spans="2:12" ht="15.75">
      <c r="B34"/>
      <c r="C34" t="s">
        <v>81</v>
      </c>
      <c r="D34"/>
      <c r="E34"/>
      <c r="F34"/>
      <c r="H34" s="197">
        <v>0</v>
      </c>
      <c r="J34" s="197">
        <v>0</v>
      </c>
    </row>
    <row r="35" spans="2:12" ht="15.75">
      <c r="B35"/>
      <c r="C35" t="s">
        <v>82</v>
      </c>
      <c r="D35"/>
      <c r="E35"/>
      <c r="F35"/>
      <c r="H35" s="197">
        <v>0</v>
      </c>
      <c r="J35" s="197">
        <v>0</v>
      </c>
    </row>
    <row r="36" spans="2:12" ht="15.75">
      <c r="B36"/>
      <c r="C36" t="s">
        <v>83</v>
      </c>
      <c r="D36"/>
      <c r="E36"/>
      <c r="F36"/>
      <c r="H36" s="197">
        <v>0</v>
      </c>
      <c r="J36" s="197">
        <v>0</v>
      </c>
    </row>
    <row r="37" spans="2:12" ht="16.5" thickBot="1">
      <c r="B37"/>
      <c r="C37" t="s">
        <v>84</v>
      </c>
      <c r="D37"/>
      <c r="E37"/>
      <c r="F37"/>
      <c r="G37" s="122" t="s">
        <v>2</v>
      </c>
      <c r="H37" s="201">
        <f>SUM(H8:H36)</f>
        <v>0</v>
      </c>
      <c r="I37" s="123" t="s">
        <v>2</v>
      </c>
      <c r="J37" s="201">
        <f>SUM(J8:J36)</f>
        <v>0</v>
      </c>
    </row>
    <row r="38" spans="2:12" ht="15.75" thickTop="1">
      <c r="H38" s="124"/>
      <c r="I38" s="79"/>
      <c r="J38" s="124"/>
    </row>
    <row r="39" spans="2:12">
      <c r="B39" s="129" t="s">
        <v>85</v>
      </c>
      <c r="C39" t="s">
        <v>86</v>
      </c>
      <c r="D39"/>
      <c r="E39"/>
      <c r="F39"/>
      <c r="G39"/>
      <c r="H39" s="85"/>
      <c r="I39" s="85"/>
      <c r="J39" s="85"/>
      <c r="K39"/>
      <c r="L39"/>
    </row>
    <row r="40" spans="2:12">
      <c r="B40"/>
      <c r="C40" t="s">
        <v>87</v>
      </c>
      <c r="D40"/>
      <c r="E40"/>
      <c r="F40"/>
      <c r="G40"/>
      <c r="H40" s="130"/>
      <c r="I40" s="130"/>
      <c r="J40" s="130"/>
      <c r="K40"/>
      <c r="L40"/>
    </row>
    <row r="41" spans="2:12">
      <c r="B41"/>
      <c r="C41" t="s">
        <v>88</v>
      </c>
      <c r="D41"/>
      <c r="E41"/>
      <c r="F41"/>
      <c r="G41"/>
      <c r="H41" s="130"/>
      <c r="I41" s="130"/>
      <c r="J41" s="130"/>
      <c r="K41"/>
      <c r="L41"/>
    </row>
    <row r="42" spans="2:12">
      <c r="B42"/>
      <c r="C42" t="s">
        <v>89</v>
      </c>
      <c r="D42"/>
      <c r="E42"/>
      <c r="F42"/>
      <c r="G42"/>
      <c r="H42" s="85"/>
      <c r="I42" s="85"/>
      <c r="J42" s="85"/>
      <c r="K42"/>
      <c r="L42"/>
    </row>
    <row r="43" spans="2:12">
      <c r="B43"/>
      <c r="C43" t="s">
        <v>227</v>
      </c>
      <c r="D43"/>
      <c r="E43"/>
      <c r="F43"/>
      <c r="G43"/>
      <c r="H43" s="130"/>
      <c r="I43" s="130"/>
      <c r="K43"/>
      <c r="L43"/>
    </row>
    <row r="44" spans="2:12">
      <c r="B44"/>
      <c r="C44" t="s">
        <v>228</v>
      </c>
      <c r="E44"/>
      <c r="F44"/>
      <c r="G44"/>
      <c r="H44" s="130"/>
      <c r="I44" s="130"/>
      <c r="J44" s="130"/>
      <c r="K44"/>
      <c r="L44"/>
    </row>
  </sheetData>
  <pageMargins left="0.7" right="0.7" top="0.75" bottom="0.75" header="0.3" footer="0.3"/>
  <pageSetup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M42"/>
  <sheetViews>
    <sheetView showGridLines="0" workbookViewId="0">
      <selection activeCell="B11" sqref="B11"/>
    </sheetView>
  </sheetViews>
  <sheetFormatPr defaultColWidth="8.85546875" defaultRowHeight="15"/>
  <cols>
    <col min="1" max="1" width="8.85546875" style="11"/>
    <col min="2" max="2" width="21" style="11" customWidth="1"/>
    <col min="3" max="3" width="16.7109375" style="11" customWidth="1"/>
    <col min="4" max="4" width="18" style="11" customWidth="1"/>
    <col min="5" max="5" width="17.85546875" style="11" bestFit="1" customWidth="1"/>
    <col min="6" max="6" width="19.7109375" style="11" bestFit="1" customWidth="1"/>
    <col min="7" max="7" width="20.85546875" style="11" customWidth="1"/>
    <col min="8" max="8" width="22.140625" style="11" bestFit="1" customWidth="1"/>
    <col min="9" max="9" width="23.5703125" style="11" bestFit="1" customWidth="1"/>
    <col min="10" max="10" width="18.28515625" style="11" bestFit="1" customWidth="1"/>
    <col min="11" max="11" width="22.7109375" style="11" customWidth="1"/>
    <col min="12" max="12" width="20.85546875" style="11" customWidth="1"/>
    <col min="13" max="16384" width="8.85546875" style="11"/>
  </cols>
  <sheetData>
    <row r="1" spans="1:13" ht="18.75">
      <c r="A1" s="82" t="s">
        <v>125</v>
      </c>
      <c r="B1" s="83" t="s">
        <v>90</v>
      </c>
      <c r="C1"/>
      <c r="D1" s="84"/>
      <c r="E1" s="84"/>
      <c r="F1" s="84"/>
      <c r="G1" s="85"/>
      <c r="H1" s="85"/>
      <c r="I1" s="85"/>
      <c r="J1"/>
      <c r="K1" s="85"/>
      <c r="L1"/>
      <c r="M1"/>
    </row>
    <row r="2" spans="1:13" ht="15.75" thickBot="1">
      <c r="A2" s="85"/>
      <c r="B2" s="86"/>
      <c r="C2" s="85"/>
      <c r="D2" s="85"/>
      <c r="E2" s="85"/>
      <c r="F2" s="85"/>
      <c r="G2" s="85"/>
      <c r="H2" s="85"/>
      <c r="I2" s="85"/>
      <c r="J2" s="85"/>
      <c r="K2" s="85"/>
      <c r="L2" s="85"/>
      <c r="M2"/>
    </row>
    <row r="3" spans="1:13">
      <c r="A3" s="85"/>
      <c r="B3" s="87"/>
      <c r="C3" s="88"/>
      <c r="D3" s="88"/>
      <c r="E3" s="88"/>
      <c r="F3" s="88"/>
      <c r="G3" s="88"/>
      <c r="H3" s="89"/>
      <c r="I3" s="88"/>
      <c r="J3" s="88"/>
      <c r="K3" s="90" t="s">
        <v>91</v>
      </c>
      <c r="L3" s="91"/>
      <c r="M3"/>
    </row>
    <row r="4" spans="1:13" ht="15.75" thickBot="1">
      <c r="A4" s="85"/>
      <c r="B4" s="92"/>
      <c r="C4" s="85"/>
      <c r="D4" s="85"/>
      <c r="E4" s="85"/>
      <c r="F4" s="85" t="s">
        <v>92</v>
      </c>
      <c r="G4" s="85"/>
      <c r="H4" s="93"/>
      <c r="I4" s="85"/>
      <c r="J4" s="85"/>
      <c r="K4" s="94" t="s">
        <v>93</v>
      </c>
      <c r="L4" s="95"/>
      <c r="M4"/>
    </row>
    <row r="5" spans="1:13">
      <c r="A5" s="85"/>
      <c r="B5" s="96"/>
      <c r="C5" s="89"/>
      <c r="D5" s="97" t="s">
        <v>57</v>
      </c>
      <c r="E5" s="98" t="s">
        <v>58</v>
      </c>
      <c r="F5" s="99" t="s">
        <v>94</v>
      </c>
      <c r="G5" s="98" t="s">
        <v>95</v>
      </c>
      <c r="H5" s="99" t="s">
        <v>96</v>
      </c>
      <c r="I5" s="99" t="s">
        <v>97</v>
      </c>
      <c r="J5" s="100" t="s">
        <v>98</v>
      </c>
      <c r="K5" s="99" t="s">
        <v>99</v>
      </c>
      <c r="L5" s="99" t="s">
        <v>100</v>
      </c>
      <c r="M5"/>
    </row>
    <row r="6" spans="1:13">
      <c r="A6" s="85"/>
      <c r="B6" s="101" t="s">
        <v>215</v>
      </c>
      <c r="C6" s="102" t="s">
        <v>113</v>
      </c>
      <c r="D6" s="102"/>
      <c r="E6" s="103" t="s">
        <v>101</v>
      </c>
      <c r="F6" s="104"/>
      <c r="G6" s="103" t="s">
        <v>0</v>
      </c>
      <c r="H6" s="105"/>
      <c r="I6" s="105"/>
      <c r="J6" s="106"/>
      <c r="K6" s="104"/>
      <c r="L6" s="106"/>
      <c r="M6"/>
    </row>
    <row r="7" spans="1:13">
      <c r="A7" s="85"/>
      <c r="B7" s="101" t="s">
        <v>199</v>
      </c>
      <c r="C7" s="93"/>
      <c r="D7" s="102" t="s">
        <v>104</v>
      </c>
      <c r="E7" s="103" t="s">
        <v>200</v>
      </c>
      <c r="F7" s="104" t="s">
        <v>201</v>
      </c>
      <c r="G7" s="103" t="s">
        <v>202</v>
      </c>
      <c r="H7" s="106" t="s">
        <v>203</v>
      </c>
      <c r="I7" s="106" t="s">
        <v>105</v>
      </c>
      <c r="J7" s="106" t="s">
        <v>102</v>
      </c>
      <c r="K7" s="106" t="s">
        <v>103</v>
      </c>
      <c r="L7" s="106" t="s">
        <v>111</v>
      </c>
      <c r="M7"/>
    </row>
    <row r="8" spans="1:13">
      <c r="A8" s="85"/>
      <c r="B8" s="101" t="s">
        <v>216</v>
      </c>
      <c r="C8" s="93"/>
      <c r="D8" s="102" t="s">
        <v>108</v>
      </c>
      <c r="E8" s="103" t="s">
        <v>115</v>
      </c>
      <c r="F8" s="104" t="s">
        <v>116</v>
      </c>
      <c r="G8" s="103" t="s">
        <v>109</v>
      </c>
      <c r="H8" s="107" t="s">
        <v>204</v>
      </c>
      <c r="I8" s="107" t="s">
        <v>213</v>
      </c>
      <c r="J8" s="106" t="s">
        <v>107</v>
      </c>
      <c r="K8" s="104" t="s">
        <v>205</v>
      </c>
      <c r="L8" s="104" t="s">
        <v>118</v>
      </c>
      <c r="M8"/>
    </row>
    <row r="9" spans="1:13">
      <c r="A9" s="85"/>
      <c r="B9" s="101"/>
      <c r="C9" s="102"/>
      <c r="D9" s="102" t="s">
        <v>114</v>
      </c>
      <c r="E9"/>
      <c r="F9" s="104" t="s">
        <v>229</v>
      </c>
      <c r="G9" s="103" t="s">
        <v>117</v>
      </c>
      <c r="H9" s="104" t="s">
        <v>231</v>
      </c>
      <c r="I9" s="104" t="s">
        <v>232</v>
      </c>
      <c r="J9" s="107" t="s">
        <v>214</v>
      </c>
      <c r="K9" s="104" t="s">
        <v>110</v>
      </c>
      <c r="L9" s="104" t="s">
        <v>106</v>
      </c>
      <c r="M9"/>
    </row>
    <row r="10" spans="1:13" ht="15.75" thickBot="1">
      <c r="A10" s="85"/>
      <c r="B10" s="108"/>
      <c r="C10" s="109"/>
      <c r="D10" s="110" t="s">
        <v>112</v>
      </c>
      <c r="E10" s="111"/>
      <c r="F10" s="112"/>
      <c r="G10" s="111" t="s">
        <v>230</v>
      </c>
      <c r="H10" s="113"/>
      <c r="I10" s="114"/>
      <c r="J10" s="114" t="s">
        <v>233</v>
      </c>
      <c r="K10" s="112" t="s">
        <v>117</v>
      </c>
      <c r="L10" s="112"/>
      <c r="M10"/>
    </row>
    <row r="11" spans="1:13">
      <c r="A11" s="79"/>
      <c r="B11" s="7"/>
      <c r="C11" s="42"/>
      <c r="D11" s="115">
        <f>SUM(E11:J11)</f>
        <v>0</v>
      </c>
      <c r="E11" s="38"/>
      <c r="F11" s="38"/>
      <c r="G11" s="38"/>
      <c r="H11" s="39"/>
      <c r="I11" s="39"/>
      <c r="J11" s="39"/>
      <c r="K11" s="39"/>
      <c r="L11" s="40"/>
    </row>
    <row r="12" spans="1:13">
      <c r="A12" s="79"/>
      <c r="B12" s="7"/>
      <c r="C12" s="42"/>
      <c r="D12" s="115">
        <f t="shared" ref="D12:D32" si="0">SUM(E12:J12)</f>
        <v>0</v>
      </c>
      <c r="E12" s="38"/>
      <c r="F12" s="38"/>
      <c r="G12" s="38"/>
      <c r="H12" s="38"/>
      <c r="I12" s="38"/>
      <c r="J12" s="38"/>
      <c r="K12" s="38"/>
      <c r="L12" s="40"/>
    </row>
    <row r="13" spans="1:13">
      <c r="A13" s="79"/>
      <c r="B13" s="7"/>
      <c r="C13" s="42"/>
      <c r="D13" s="115">
        <f t="shared" si="0"/>
        <v>0</v>
      </c>
      <c r="E13" s="38"/>
      <c r="F13" s="38"/>
      <c r="G13" s="38"/>
      <c r="H13" s="39"/>
      <c r="I13" s="39"/>
      <c r="J13" s="39"/>
      <c r="K13" s="39"/>
      <c r="L13" s="40"/>
    </row>
    <row r="14" spans="1:13">
      <c r="A14" s="79"/>
      <c r="B14" s="7"/>
      <c r="C14" s="42"/>
      <c r="D14" s="115">
        <f t="shared" si="0"/>
        <v>0</v>
      </c>
      <c r="E14" s="38"/>
      <c r="F14" s="38"/>
      <c r="G14" s="38"/>
      <c r="H14" s="38"/>
      <c r="I14" s="38"/>
      <c r="J14" s="38"/>
      <c r="K14" s="38"/>
      <c r="L14" s="40"/>
    </row>
    <row r="15" spans="1:13">
      <c r="A15" s="79"/>
      <c r="B15" s="7"/>
      <c r="C15" s="42"/>
      <c r="D15" s="115">
        <f t="shared" si="0"/>
        <v>0</v>
      </c>
      <c r="E15" s="38"/>
      <c r="F15" s="38"/>
      <c r="G15" s="39"/>
      <c r="H15" s="39"/>
      <c r="I15" s="39"/>
      <c r="J15" s="39"/>
      <c r="K15" s="39"/>
      <c r="L15" s="40"/>
    </row>
    <row r="16" spans="1:13">
      <c r="A16" s="79"/>
      <c r="B16" s="7"/>
      <c r="C16" s="42"/>
      <c r="D16" s="115">
        <f>SUM(E16:J16)</f>
        <v>0</v>
      </c>
      <c r="E16" s="38"/>
      <c r="F16" s="38"/>
      <c r="G16" s="38"/>
      <c r="H16" s="38"/>
      <c r="I16" s="38"/>
      <c r="J16" s="38"/>
      <c r="K16" s="38"/>
      <c r="L16" s="40"/>
    </row>
    <row r="17" spans="1:12">
      <c r="A17" s="79"/>
      <c r="B17" s="7"/>
      <c r="C17" s="42"/>
      <c r="D17" s="115">
        <f>SUM(E17:J17)</f>
        <v>0</v>
      </c>
      <c r="E17" s="38"/>
      <c r="F17" s="38"/>
      <c r="G17" s="38"/>
      <c r="H17" s="39"/>
      <c r="I17" s="39"/>
      <c r="J17" s="39"/>
      <c r="K17" s="39"/>
      <c r="L17" s="40"/>
    </row>
    <row r="18" spans="1:12">
      <c r="A18" s="79"/>
      <c r="B18" s="7"/>
      <c r="C18" s="42"/>
      <c r="D18" s="115">
        <f t="shared" si="0"/>
        <v>0</v>
      </c>
      <c r="E18" s="38"/>
      <c r="F18" s="38"/>
      <c r="G18" s="38"/>
      <c r="H18" s="38"/>
      <c r="I18" s="38"/>
      <c r="J18" s="38"/>
      <c r="K18" s="38"/>
      <c r="L18" s="40"/>
    </row>
    <row r="19" spans="1:12">
      <c r="A19" s="79"/>
      <c r="B19" s="7"/>
      <c r="C19" s="42"/>
      <c r="D19" s="115">
        <f t="shared" si="0"/>
        <v>0</v>
      </c>
      <c r="E19" s="38"/>
      <c r="F19" s="38"/>
      <c r="G19" s="38"/>
      <c r="H19" s="39"/>
      <c r="I19" s="39"/>
      <c r="J19" s="39"/>
      <c r="K19" s="39"/>
      <c r="L19" s="40"/>
    </row>
    <row r="20" spans="1:12">
      <c r="A20" s="79"/>
      <c r="B20" s="7"/>
      <c r="C20" s="42"/>
      <c r="D20" s="115">
        <f t="shared" si="0"/>
        <v>0</v>
      </c>
      <c r="E20" s="38"/>
      <c r="F20" s="38"/>
      <c r="G20" s="38"/>
      <c r="H20" s="38"/>
      <c r="I20" s="38"/>
      <c r="J20" s="38"/>
      <c r="K20" s="38"/>
      <c r="L20" s="40"/>
    </row>
    <row r="21" spans="1:12">
      <c r="A21" s="79"/>
      <c r="B21" s="7"/>
      <c r="C21" s="42"/>
      <c r="D21" s="115">
        <f t="shared" si="0"/>
        <v>0</v>
      </c>
      <c r="E21" s="38"/>
      <c r="F21" s="38"/>
      <c r="G21" s="38"/>
      <c r="H21" s="39"/>
      <c r="I21" s="39"/>
      <c r="J21" s="39"/>
      <c r="K21" s="39"/>
      <c r="L21" s="40"/>
    </row>
    <row r="22" spans="1:12">
      <c r="A22" s="79"/>
      <c r="B22" s="7"/>
      <c r="C22" s="42"/>
      <c r="D22" s="115">
        <f t="shared" si="0"/>
        <v>0</v>
      </c>
      <c r="E22" s="38"/>
      <c r="F22" s="38"/>
      <c r="G22" s="38"/>
      <c r="H22" s="38"/>
      <c r="I22" s="38"/>
      <c r="J22" s="38"/>
      <c r="K22" s="38"/>
      <c r="L22" s="40"/>
    </row>
    <row r="23" spans="1:12">
      <c r="A23" s="79"/>
      <c r="B23" s="7"/>
      <c r="C23" s="42"/>
      <c r="D23" s="115">
        <f t="shared" si="0"/>
        <v>0</v>
      </c>
      <c r="E23" s="38"/>
      <c r="F23" s="38"/>
      <c r="G23" s="38"/>
      <c r="H23" s="39"/>
      <c r="I23" s="39"/>
      <c r="J23" s="39"/>
      <c r="K23" s="39"/>
      <c r="L23" s="40"/>
    </row>
    <row r="24" spans="1:12">
      <c r="A24" s="79"/>
      <c r="B24" s="7"/>
      <c r="C24" s="42"/>
      <c r="D24" s="115">
        <f t="shared" si="0"/>
        <v>0</v>
      </c>
      <c r="E24" s="38"/>
      <c r="F24" s="38"/>
      <c r="G24" s="38"/>
      <c r="H24" s="38"/>
      <c r="I24" s="38"/>
      <c r="J24" s="38"/>
      <c r="K24" s="38"/>
      <c r="L24" s="40"/>
    </row>
    <row r="25" spans="1:12">
      <c r="A25" s="79"/>
      <c r="B25" s="7"/>
      <c r="C25" s="42"/>
      <c r="D25" s="115">
        <f t="shared" si="0"/>
        <v>0</v>
      </c>
      <c r="E25" s="38"/>
      <c r="F25" s="38"/>
      <c r="G25" s="38"/>
      <c r="H25" s="39"/>
      <c r="I25" s="39"/>
      <c r="J25" s="39"/>
      <c r="K25" s="39"/>
      <c r="L25" s="40"/>
    </row>
    <row r="26" spans="1:12">
      <c r="A26" s="79"/>
      <c r="B26" s="7"/>
      <c r="C26" s="42"/>
      <c r="D26" s="115">
        <f t="shared" si="0"/>
        <v>0</v>
      </c>
      <c r="E26" s="38"/>
      <c r="F26" s="38"/>
      <c r="G26" s="38"/>
      <c r="H26" s="38"/>
      <c r="I26" s="38"/>
      <c r="J26" s="38"/>
      <c r="K26" s="38"/>
      <c r="L26" s="40"/>
    </row>
    <row r="27" spans="1:12">
      <c r="A27" s="79"/>
      <c r="B27" s="7"/>
      <c r="C27" s="42"/>
      <c r="D27" s="115">
        <f t="shared" si="0"/>
        <v>0</v>
      </c>
      <c r="E27" s="38"/>
      <c r="F27" s="38"/>
      <c r="G27" s="38"/>
      <c r="H27" s="39"/>
      <c r="I27" s="39"/>
      <c r="J27" s="39"/>
      <c r="K27" s="39"/>
      <c r="L27" s="40"/>
    </row>
    <row r="28" spans="1:12">
      <c r="A28" s="79"/>
      <c r="B28" s="7"/>
      <c r="C28" s="42"/>
      <c r="D28" s="115">
        <f t="shared" si="0"/>
        <v>0</v>
      </c>
      <c r="E28" s="38"/>
      <c r="F28" s="38"/>
      <c r="G28" s="38"/>
      <c r="H28" s="38"/>
      <c r="I28" s="38"/>
      <c r="J28" s="38"/>
      <c r="K28" s="38"/>
      <c r="L28" s="40"/>
    </row>
    <row r="29" spans="1:12">
      <c r="A29" s="79"/>
      <c r="B29" s="7"/>
      <c r="C29" s="42"/>
      <c r="D29" s="115">
        <f t="shared" si="0"/>
        <v>0</v>
      </c>
      <c r="E29" s="38"/>
      <c r="F29" s="38"/>
      <c r="G29" s="38"/>
      <c r="H29" s="39"/>
      <c r="I29" s="39"/>
      <c r="J29" s="39"/>
      <c r="K29" s="39"/>
      <c r="L29" s="40"/>
    </row>
    <row r="30" spans="1:12">
      <c r="A30" s="79"/>
      <c r="B30" s="7"/>
      <c r="C30" s="42"/>
      <c r="D30" s="115">
        <f t="shared" si="0"/>
        <v>0</v>
      </c>
      <c r="E30" s="38"/>
      <c r="F30" s="38"/>
      <c r="G30" s="38"/>
      <c r="H30" s="38"/>
      <c r="I30" s="38"/>
      <c r="J30" s="38"/>
      <c r="K30" s="38"/>
      <c r="L30" s="40"/>
    </row>
    <row r="31" spans="1:12">
      <c r="A31" s="79"/>
      <c r="B31" s="7"/>
      <c r="C31" s="42"/>
      <c r="D31" s="115">
        <f t="shared" si="0"/>
        <v>0</v>
      </c>
      <c r="E31" s="38"/>
      <c r="F31" s="38"/>
      <c r="G31" s="38"/>
      <c r="H31" s="39"/>
      <c r="I31" s="39"/>
      <c r="J31" s="39"/>
      <c r="K31" s="39"/>
      <c r="L31" s="40"/>
    </row>
    <row r="32" spans="1:12" ht="15.75" thickBot="1">
      <c r="A32" s="79"/>
      <c r="B32" s="7"/>
      <c r="C32" s="43"/>
      <c r="D32" s="115">
        <f t="shared" si="0"/>
        <v>0</v>
      </c>
      <c r="E32" s="38"/>
      <c r="F32" s="38"/>
      <c r="G32" s="38"/>
      <c r="H32" s="38"/>
      <c r="I32" s="38"/>
      <c r="J32" s="38"/>
      <c r="K32" s="38"/>
      <c r="L32" s="40"/>
    </row>
    <row r="33" spans="1:12" ht="15.75" thickBot="1">
      <c r="A33" s="79"/>
      <c r="B33" s="118" t="s">
        <v>119</v>
      </c>
      <c r="C33" s="41"/>
      <c r="D33" s="116">
        <f t="shared" ref="D33:J33" si="1">SUM(D11:D32)</f>
        <v>0</v>
      </c>
      <c r="E33" s="116">
        <f t="shared" si="1"/>
        <v>0</v>
      </c>
      <c r="F33" s="116">
        <f t="shared" si="1"/>
        <v>0</v>
      </c>
      <c r="G33" s="116">
        <f t="shared" si="1"/>
        <v>0</v>
      </c>
      <c r="H33" s="116">
        <f t="shared" si="1"/>
        <v>0</v>
      </c>
      <c r="I33" s="116">
        <f t="shared" si="1"/>
        <v>0</v>
      </c>
      <c r="J33" s="116">
        <f t="shared" si="1"/>
        <v>0</v>
      </c>
      <c r="K33" s="1"/>
      <c r="L33" s="1"/>
    </row>
    <row r="34" spans="1:12" ht="30" thickBot="1">
      <c r="A34" s="79"/>
      <c r="B34" s="80"/>
      <c r="C34" s="79"/>
      <c r="D34" s="117" t="s">
        <v>120</v>
      </c>
      <c r="E34" s="79"/>
      <c r="F34" s="79"/>
      <c r="G34" s="79"/>
      <c r="H34" s="79"/>
      <c r="I34" s="79"/>
      <c r="J34" s="79"/>
      <c r="K34" s="79"/>
      <c r="L34" s="79"/>
    </row>
    <row r="35" spans="1:12">
      <c r="A35" s="79"/>
      <c r="B35" s="80"/>
      <c r="C35" s="79"/>
      <c r="D35" s="79"/>
      <c r="E35" s="79"/>
      <c r="F35" s="79"/>
      <c r="G35" s="79"/>
      <c r="H35" s="79"/>
      <c r="I35" s="79"/>
      <c r="J35" s="79"/>
      <c r="K35" s="79"/>
      <c r="L35" s="79"/>
    </row>
    <row r="36" spans="1:12">
      <c r="A36" s="79"/>
      <c r="B36" s="119" t="s">
        <v>121</v>
      </c>
      <c r="C36" s="120"/>
      <c r="D36" s="120"/>
      <c r="E36" s="120"/>
      <c r="F36" s="120"/>
      <c r="G36" s="85"/>
      <c r="H36" s="79"/>
      <c r="I36" s="79"/>
      <c r="J36" s="79"/>
      <c r="K36" s="79"/>
      <c r="L36" s="79"/>
    </row>
    <row r="37" spans="1:12">
      <c r="A37" s="79"/>
      <c r="B37" s="86"/>
      <c r="C37" s="85"/>
      <c r="D37" s="85"/>
      <c r="E37" s="85"/>
      <c r="F37" s="85"/>
      <c r="G37" s="85"/>
      <c r="H37" s="79"/>
      <c r="I37" s="79"/>
      <c r="J37" s="79"/>
      <c r="K37" s="79"/>
      <c r="L37" s="79"/>
    </row>
    <row r="38" spans="1:12">
      <c r="A38" s="79"/>
      <c r="B38" s="121" t="s">
        <v>122</v>
      </c>
      <c r="C38" s="120"/>
      <c r="D38" s="120"/>
      <c r="E38" s="120"/>
      <c r="F38" s="120"/>
      <c r="G38" s="120"/>
      <c r="H38" s="79"/>
      <c r="I38" s="79"/>
      <c r="J38" s="79"/>
      <c r="K38" s="79"/>
      <c r="L38" s="79"/>
    </row>
    <row r="39" spans="1:12">
      <c r="A39" s="79"/>
      <c r="B39" s="121" t="s">
        <v>123</v>
      </c>
      <c r="C39" s="120"/>
      <c r="D39" s="120"/>
      <c r="E39" s="120"/>
      <c r="F39" s="120"/>
      <c r="G39" s="120"/>
      <c r="H39" s="81"/>
      <c r="I39" s="81"/>
      <c r="J39" s="81"/>
      <c r="K39" s="79"/>
      <c r="L39" s="79"/>
    </row>
    <row r="40" spans="1:12">
      <c r="A40" s="79"/>
      <c r="B40" s="86"/>
      <c r="C40" s="85"/>
      <c r="D40" s="85"/>
      <c r="E40" s="85"/>
      <c r="F40" s="85"/>
      <c r="G40" s="85"/>
      <c r="H40" s="79"/>
      <c r="I40" s="79"/>
      <c r="J40" s="79"/>
      <c r="K40" s="79"/>
      <c r="L40" s="79"/>
    </row>
    <row r="41" spans="1:12">
      <c r="A41" s="79"/>
      <c r="B41" s="121" t="s">
        <v>124</v>
      </c>
      <c r="C41" s="120"/>
      <c r="D41" s="120"/>
      <c r="E41" s="120"/>
      <c r="F41" s="120"/>
      <c r="G41" s="85"/>
      <c r="H41" s="79"/>
      <c r="I41" s="79"/>
      <c r="J41" s="79"/>
      <c r="K41" s="79"/>
      <c r="L41" s="79"/>
    </row>
    <row r="42" spans="1:12">
      <c r="A42" s="79"/>
      <c r="B42" s="86"/>
      <c r="C42" s="85"/>
      <c r="D42" s="85"/>
      <c r="E42" s="85"/>
      <c r="F42" s="85"/>
      <c r="G42" s="85"/>
      <c r="H42" s="79"/>
      <c r="I42" s="79"/>
      <c r="J42" s="79"/>
      <c r="K42" s="79"/>
      <c r="L42" s="79"/>
    </row>
  </sheetData>
  <pageMargins left="0.7" right="0.7" top="0.75" bottom="0.75" header="0.3" footer="0.3"/>
  <pageSetup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23:K26"/>
  <sheetViews>
    <sheetView workbookViewId="0">
      <selection activeCell="K25" sqref="K25"/>
    </sheetView>
  </sheetViews>
  <sheetFormatPr defaultRowHeight="15"/>
  <cols>
    <col min="11" max="11" width="16.7109375" bestFit="1" customWidth="1"/>
  </cols>
  <sheetData>
    <row r="23" spans="11:11" ht="15.75" thickBot="1">
      <c r="K23" s="44">
        <v>2216490728.0799999</v>
      </c>
    </row>
    <row r="24" spans="11:11" ht="15.75" thickTop="1"/>
    <row r="25" spans="11:11">
      <c r="K25">
        <v>0.385606</v>
      </c>
    </row>
    <row r="26" spans="11:11">
      <c r="K26" s="73">
        <f>SUM(K23*K25)</f>
        <v>854692123.69201648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81</vt:i4>
      </vt:variant>
    </vt:vector>
  </HeadingPairs>
  <TitlesOfParts>
    <vt:vector size="89" baseType="lpstr">
      <vt:lpstr>Tax Rate Options - Shifts</vt:lpstr>
      <vt:lpstr>Levy Limit</vt:lpstr>
      <vt:lpstr>Recap Page 1</vt:lpstr>
      <vt:lpstr>Recap Page 2</vt:lpstr>
      <vt:lpstr>Recap Page 3</vt:lpstr>
      <vt:lpstr>Recap Page 4</vt:lpstr>
      <vt:lpstr>Sheet1</vt:lpstr>
      <vt:lpstr>Sheet2</vt:lpstr>
      <vt:lpstr>comrate</vt:lpstr>
      <vt:lpstr>comshift</vt:lpstr>
      <vt:lpstr>Cur_FY</vt:lpstr>
      <vt:lpstr>diff</vt:lpstr>
      <vt:lpstr>ESTREC</vt:lpstr>
      <vt:lpstr>exemcinew</vt:lpstr>
      <vt:lpstr>exemcom</vt:lpstr>
      <vt:lpstr>exemcomel</vt:lpstr>
      <vt:lpstr>exemcompcls</vt:lpstr>
      <vt:lpstr>exemcompct</vt:lpstr>
      <vt:lpstr>exemresnew</vt:lpstr>
      <vt:lpstr>exemrespct</vt:lpstr>
      <vt:lpstr>FREECASHTOT</vt:lpstr>
      <vt:lpstr>indshift</vt:lpstr>
      <vt:lpstr>levylimI</vt:lpstr>
      <vt:lpstr>levylimII</vt:lpstr>
      <vt:lpstr>levylimitdb</vt:lpstr>
      <vt:lpstr>maxlevy</vt:lpstr>
      <vt:lpstr>newoverlay</vt:lpstr>
      <vt:lpstr>nshiftcom</vt:lpstr>
      <vt:lpstr>nshiftind</vt:lpstr>
      <vt:lpstr>nshiftos</vt:lpstr>
      <vt:lpstr>nshiftper</vt:lpstr>
      <vt:lpstr>nshiftr</vt:lpstr>
      <vt:lpstr>opshift</vt:lpstr>
      <vt:lpstr>option150</vt:lpstr>
      <vt:lpstr>option175</vt:lpstr>
      <vt:lpstr>optioncippct</vt:lpstr>
      <vt:lpstr>optioncom</vt:lpstr>
      <vt:lpstr>optioncomex</vt:lpstr>
      <vt:lpstr>optioncompct</vt:lpstr>
      <vt:lpstr>optionind</vt:lpstr>
      <vt:lpstr>optionindpct</vt:lpstr>
      <vt:lpstr>optionlevy</vt:lpstr>
      <vt:lpstr>optionmrf</vt:lpstr>
      <vt:lpstr>optionos</vt:lpstr>
      <vt:lpstr>optionospct</vt:lpstr>
      <vt:lpstr>optionpp</vt:lpstr>
      <vt:lpstr>optionpppct</vt:lpstr>
      <vt:lpstr>optionres</vt:lpstr>
      <vt:lpstr>optionres200share</vt:lpstr>
      <vt:lpstr>optionresex</vt:lpstr>
      <vt:lpstr>optionresminshare</vt:lpstr>
      <vt:lpstr>optionrespct</vt:lpstr>
      <vt:lpstr>optionropct</vt:lpstr>
      <vt:lpstr>optionshift200</vt:lpstr>
      <vt:lpstr>optiontot</vt:lpstr>
      <vt:lpstr>osdisc</vt:lpstr>
      <vt:lpstr>OTHERAVAILTOT</vt:lpstr>
      <vt:lpstr>OVERLAY</vt:lpstr>
      <vt:lpstr>p1recap</vt:lpstr>
      <vt:lpstr>p2recap</vt:lpstr>
      <vt:lpstr>p3recap</vt:lpstr>
      <vt:lpstr>p4recap</vt:lpstr>
      <vt:lpstr>ppshift</vt:lpstr>
      <vt:lpstr>resexem</vt:lpstr>
      <vt:lpstr>resrate</vt:lpstr>
      <vt:lpstr>resshift</vt:lpstr>
      <vt:lpstr>rnoshift</vt:lpstr>
      <vt:lpstr>shiftos</vt:lpstr>
      <vt:lpstr>shiftper</vt:lpstr>
      <vt:lpstr>shiftRateCom</vt:lpstr>
      <vt:lpstr>ShiftRateInd</vt:lpstr>
      <vt:lpstr>ShiftRateOs</vt:lpstr>
      <vt:lpstr>ShiftRatePP</vt:lpstr>
      <vt:lpstr>ShiftRateRes</vt:lpstr>
      <vt:lpstr>shifttable</vt:lpstr>
      <vt:lpstr>table2</vt:lpstr>
      <vt:lpstr>tableabc</vt:lpstr>
      <vt:lpstr>taxrateoptions</vt:lpstr>
      <vt:lpstr>TLEVY</vt:lpstr>
      <vt:lpstr>totamtraise</vt:lpstr>
      <vt:lpstr>TOTAPPROP</vt:lpstr>
      <vt:lpstr>totestrcpt</vt:lpstr>
      <vt:lpstr>TOTLEVY</vt:lpstr>
      <vt:lpstr>totvalexem</vt:lpstr>
      <vt:lpstr>valcom</vt:lpstr>
      <vt:lpstr>valind</vt:lpstr>
      <vt:lpstr>valos</vt:lpstr>
      <vt:lpstr>valpp</vt:lpstr>
      <vt:lpstr>valres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Shirer (DOR/DLS)</dc:creator>
  <cp:lastModifiedBy>Curtis, Jared (DOR)</cp:lastModifiedBy>
  <cp:lastPrinted>2018-03-28T17:16:09Z</cp:lastPrinted>
  <dcterms:created xsi:type="dcterms:W3CDTF">2018-03-12T16:35:37Z</dcterms:created>
  <dcterms:modified xsi:type="dcterms:W3CDTF">2025-06-27T12:28:03Z</dcterms:modified>
</cp:coreProperties>
</file>