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https://massgov-my.sharepoint.com/personal/sue_ann_richardson_mass_gov/Documents/7.75 Retail Sellers_SAR/2019/2019 RSEF/"/>
    </mc:Choice>
  </mc:AlternateContent>
  <xr:revisionPtr revIDLastSave="0" documentId="8_{77B6C76F-2687-49DA-A85B-8B6E3A0B6C6E}" xr6:coauthVersionLast="46" xr6:coauthVersionMax="46" xr10:uidLastSave="{00000000-0000-0000-0000-000000000000}"/>
  <bookViews>
    <workbookView xWindow="-110" yWindow="-110" windowWidth="19420" windowHeight="10420" tabRatio="936"/>
  </bookViews>
  <sheets>
    <sheet name="Emission Factor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923'!$A$6:$Z$2081</definedName>
    <definedName name="_xlnm._FilterDatabase" localSheetId="5" hidden="1">'EPA Part 75'!$A$1:$J$351</definedName>
    <definedName name="IPCC_Report">[1]GWPs!$B$11:$B$13</definedName>
    <definedName name="MSBprcnt">'EIA Form 923'!$E$2094</definedName>
    <definedName name="MSNprcnt">'EIA Form 923'!$E$2093</definedName>
    <definedName name="_xlnm.Print_Titles" localSheetId="4">'EIA Form 923'!$7:$8</definedName>
    <definedName name="_xlnm.Print_Titles" localSheetId="5">'EPA Part 75'!$1:$1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8" l="1"/>
  <c r="F17" i="8"/>
  <c r="G16" i="8"/>
  <c r="F16" i="8"/>
  <c r="J17" i="8"/>
  <c r="J16" i="8"/>
  <c r="J15" i="8"/>
  <c r="H319" i="6"/>
  <c r="H295" i="6"/>
  <c r="Y2266" i="1"/>
  <c r="Y2117" i="1"/>
  <c r="Y2267" i="1"/>
  <c r="Y2192" i="1"/>
  <c r="Y2265" i="1"/>
  <c r="Y2092" i="1"/>
  <c r="X2266" i="1"/>
  <c r="X2117" i="1"/>
  <c r="X2267" i="1"/>
  <c r="X2192" i="1"/>
  <c r="X2265" i="1"/>
  <c r="X2092" i="1"/>
  <c r="X8" i="1"/>
  <c r="X9" i="1"/>
  <c r="X10" i="1"/>
  <c r="X12" i="1"/>
  <c r="R2265" i="1"/>
  <c r="R2092" i="1"/>
  <c r="S2265" i="1"/>
  <c r="S2092" i="1"/>
  <c r="T2265" i="1"/>
  <c r="T2092" i="1"/>
  <c r="U2265" i="1"/>
  <c r="F23" i="11"/>
  <c r="Q2265" i="1"/>
  <c r="Q2092" i="1"/>
  <c r="R2267" i="1"/>
  <c r="R2192" i="1"/>
  <c r="S2267" i="1"/>
  <c r="S2192" i="1"/>
  <c r="T2267" i="1"/>
  <c r="T2192" i="1"/>
  <c r="G133" i="11"/>
  <c r="N133" i="11"/>
  <c r="O133" i="11"/>
  <c r="U2267" i="1"/>
  <c r="F143" i="11"/>
  <c r="Q2267" i="1"/>
  <c r="Q2192" i="1"/>
  <c r="R2266" i="1"/>
  <c r="R2117" i="1"/>
  <c r="S2266" i="1"/>
  <c r="S2117" i="1"/>
  <c r="T2266" i="1"/>
  <c r="T2117" i="1"/>
  <c r="U2266" i="1"/>
  <c r="U2117" i="1"/>
  <c r="Q2266" i="1"/>
  <c r="Q2117" i="1"/>
  <c r="Z2267" i="1"/>
  <c r="Z2266" i="1"/>
  <c r="H11" i="9"/>
  <c r="CP24" i="8"/>
  <c r="H16" i="9"/>
  <c r="G16" i="9"/>
  <c r="F16" i="9"/>
  <c r="E16" i="9"/>
  <c r="D16" i="9"/>
  <c r="C16" i="9"/>
  <c r="B16" i="9"/>
  <c r="A187" i="11"/>
  <c r="A157" i="11"/>
  <c r="A127" i="11"/>
  <c r="A97" i="11"/>
  <c r="A67" i="11"/>
  <c r="A37" i="11"/>
  <c r="I76" i="7"/>
  <c r="I75" i="7"/>
  <c r="I74" i="7"/>
  <c r="W2197" i="1"/>
  <c r="I80" i="7"/>
  <c r="I81" i="7"/>
  <c r="I49" i="7"/>
  <c r="I50" i="7"/>
  <c r="I10" i="7"/>
  <c r="I11" i="7"/>
  <c r="I12" i="7"/>
  <c r="I29" i="7"/>
  <c r="I57" i="7"/>
  <c r="I58" i="7"/>
  <c r="I99" i="7"/>
  <c r="I96" i="7"/>
  <c r="I97" i="7"/>
  <c r="I108" i="7"/>
  <c r="I109" i="7"/>
  <c r="I73" i="7"/>
  <c r="I120" i="7"/>
  <c r="I121" i="7"/>
  <c r="I336" i="7"/>
  <c r="I291" i="7"/>
  <c r="I292" i="7"/>
  <c r="I284" i="7"/>
  <c r="I285" i="7"/>
  <c r="I286" i="7"/>
  <c r="I271" i="7"/>
  <c r="I267" i="7"/>
  <c r="I268" i="7"/>
  <c r="I269" i="7"/>
  <c r="I257" i="7"/>
  <c r="I258" i="7"/>
  <c r="I259" i="7"/>
  <c r="I250" i="7"/>
  <c r="I251" i="7"/>
  <c r="I249" i="7"/>
  <c r="I337" i="7"/>
  <c r="I338" i="7"/>
  <c r="I339" i="7"/>
  <c r="D11" i="12"/>
  <c r="E11" i="12"/>
  <c r="C79" i="16"/>
  <c r="C84" i="16"/>
  <c r="BR24" i="8"/>
  <c r="BR33" i="8"/>
  <c r="Y298" i="10"/>
  <c r="AI213" i="10"/>
  <c r="W15" i="8"/>
  <c r="V298" i="10"/>
  <c r="D59" i="16"/>
  <c r="V297" i="10"/>
  <c r="S297" i="10"/>
  <c r="CM33" i="8"/>
  <c r="CM24" i="8"/>
  <c r="BQ33" i="8"/>
  <c r="BQ24" i="8"/>
  <c r="V33" i="8"/>
  <c r="V24" i="8"/>
  <c r="C24" i="8"/>
  <c r="C33" i="8"/>
  <c r="C94" i="16"/>
  <c r="C89" i="16"/>
  <c r="X15" i="8"/>
  <c r="F290" i="6"/>
  <c r="Q292" i="6"/>
  <c r="Q295" i="6"/>
  <c r="Q296" i="6"/>
  <c r="Q297" i="6"/>
  <c r="Q298" i="6"/>
  <c r="Q299" i="6"/>
  <c r="Q303" i="6"/>
  <c r="Q304" i="6"/>
  <c r="Q305" i="6"/>
  <c r="Q307" i="6"/>
  <c r="A313" i="6"/>
  <c r="A409" i="6"/>
  <c r="Q316" i="6"/>
  <c r="Q319" i="6"/>
  <c r="Q320" i="6"/>
  <c r="F319" i="6"/>
  <c r="Q321" i="6"/>
  <c r="Q322" i="6"/>
  <c r="Q323" i="6"/>
  <c r="Q327" i="6"/>
  <c r="Q328" i="6"/>
  <c r="Q329" i="6"/>
  <c r="Q331" i="6"/>
  <c r="A337" i="6"/>
  <c r="F338" i="6"/>
  <c r="Q340" i="6"/>
  <c r="Q343" i="6"/>
  <c r="Q344" i="6"/>
  <c r="Q345" i="6"/>
  <c r="Q346" i="6"/>
  <c r="Q347" i="6"/>
  <c r="Q351" i="6"/>
  <c r="Q352" i="6"/>
  <c r="Q353" i="6"/>
  <c r="Q355" i="6"/>
  <c r="A361" i="6"/>
  <c r="F362" i="6"/>
  <c r="Q364" i="6"/>
  <c r="Q367" i="6"/>
  <c r="Q368" i="6"/>
  <c r="Q369" i="6"/>
  <c r="Q370" i="6"/>
  <c r="Q371" i="6"/>
  <c r="Q375" i="6"/>
  <c r="Q376" i="6"/>
  <c r="Q377" i="6"/>
  <c r="Q379" i="6"/>
  <c r="A385" i="6"/>
  <c r="F386" i="6"/>
  <c r="Q388" i="6"/>
  <c r="Q391" i="6"/>
  <c r="Q392" i="6"/>
  <c r="Q393" i="6"/>
  <c r="Q394" i="6"/>
  <c r="Q395" i="6"/>
  <c r="Q399" i="6"/>
  <c r="Q400" i="6"/>
  <c r="Q401" i="6"/>
  <c r="Q403" i="6"/>
  <c r="F410" i="6"/>
  <c r="B412" i="6"/>
  <c r="Q412" i="6"/>
  <c r="B413" i="6"/>
  <c r="B414" i="6"/>
  <c r="Q415" i="6"/>
  <c r="Q416" i="6"/>
  <c r="Q417" i="6"/>
  <c r="Q418" i="6"/>
  <c r="Q419" i="6"/>
  <c r="Q423" i="6"/>
  <c r="Q424" i="6"/>
  <c r="Q425" i="6"/>
  <c r="Q427" i="6"/>
  <c r="A191" i="6"/>
  <c r="A263" i="6"/>
  <c r="F192" i="6"/>
  <c r="A209" i="6"/>
  <c r="F210" i="6"/>
  <c r="A227" i="6"/>
  <c r="F228" i="6"/>
  <c r="A245" i="6"/>
  <c r="B266" i="6"/>
  <c r="B267" i="6"/>
  <c r="B268" i="6"/>
  <c r="C85" i="16"/>
  <c r="C95" i="16"/>
  <c r="C90" i="16"/>
  <c r="E80" i="16"/>
  <c r="E75" i="16"/>
  <c r="C74" i="16"/>
  <c r="E70" i="16"/>
  <c r="C69" i="16"/>
  <c r="E65" i="16"/>
  <c r="C64" i="16"/>
  <c r="E55" i="16"/>
  <c r="E60" i="16"/>
  <c r="C54" i="16"/>
  <c r="C59" i="16"/>
  <c r="C39" i="16"/>
  <c r="AH300" i="10"/>
  <c r="F81" i="16"/>
  <c r="AH299" i="10"/>
  <c r="AE300" i="10"/>
  <c r="F76" i="16"/>
  <c r="AE299" i="10"/>
  <c r="AB300" i="10"/>
  <c r="F71" i="16"/>
  <c r="AB299" i="10"/>
  <c r="Y300" i="10"/>
  <c r="F66" i="16"/>
  <c r="Y299" i="10"/>
  <c r="V299" i="10"/>
  <c r="V300" i="10"/>
  <c r="F61" i="16"/>
  <c r="S299" i="10"/>
  <c r="S300" i="10"/>
  <c r="F56" i="16"/>
  <c r="G354" i="7"/>
  <c r="F354" i="7"/>
  <c r="AI238" i="10"/>
  <c r="AO264" i="10"/>
  <c r="AI290" i="10"/>
  <c r="F159" i="6"/>
  <c r="F147" i="6"/>
  <c r="F34" i="6"/>
  <c r="L246" i="10"/>
  <c r="L247" i="10"/>
  <c r="L248" i="10"/>
  <c r="L249" i="10"/>
  <c r="L250" i="10"/>
  <c r="L251" i="10"/>
  <c r="L252" i="10"/>
  <c r="L253" i="10"/>
  <c r="L254" i="10"/>
  <c r="L255" i="10"/>
  <c r="L256" i="10"/>
  <c r="L257" i="10"/>
  <c r="L258" i="10"/>
  <c r="L259" i="10"/>
  <c r="L260" i="10"/>
  <c r="L261" i="10"/>
  <c r="L262" i="10"/>
  <c r="L263" i="10"/>
  <c r="L245" i="10"/>
  <c r="J246" i="10"/>
  <c r="J247" i="10"/>
  <c r="J248" i="10"/>
  <c r="J249" i="10"/>
  <c r="J250" i="10"/>
  <c r="J251" i="10"/>
  <c r="J252" i="10"/>
  <c r="J253" i="10"/>
  <c r="J254" i="10"/>
  <c r="J255" i="10"/>
  <c r="J256" i="10"/>
  <c r="J257" i="10"/>
  <c r="J258" i="10"/>
  <c r="J259" i="10"/>
  <c r="J260" i="10"/>
  <c r="J261" i="10"/>
  <c r="J262" i="10"/>
  <c r="J263" i="10"/>
  <c r="J245" i="10"/>
  <c r="H246" i="10"/>
  <c r="H247" i="10"/>
  <c r="H248" i="10"/>
  <c r="H249" i="10"/>
  <c r="H250" i="10"/>
  <c r="H251" i="10"/>
  <c r="H252" i="10"/>
  <c r="H253" i="10"/>
  <c r="H254" i="10"/>
  <c r="H255" i="10"/>
  <c r="H256" i="10"/>
  <c r="H257" i="10"/>
  <c r="H258" i="10"/>
  <c r="H259" i="10"/>
  <c r="H260" i="10"/>
  <c r="H261" i="10"/>
  <c r="H262" i="10"/>
  <c r="H263" i="10"/>
  <c r="H245" i="10"/>
  <c r="F246" i="10"/>
  <c r="E106" i="13" a="1"/>
  <c r="E106" i="13"/>
  <c r="H106" i="13"/>
  <c r="F247" i="10"/>
  <c r="F248" i="10"/>
  <c r="F249" i="10"/>
  <c r="F250" i="10"/>
  <c r="F251" i="10"/>
  <c r="F252" i="10"/>
  <c r="F253" i="10"/>
  <c r="F254" i="10"/>
  <c r="F255" i="10"/>
  <c r="F256" i="10"/>
  <c r="F257" i="10"/>
  <c r="F258" i="10"/>
  <c r="F259" i="10"/>
  <c r="F260" i="10"/>
  <c r="F261" i="10"/>
  <c r="F262" i="10"/>
  <c r="F263" i="10"/>
  <c r="F245" i="10"/>
  <c r="D246" i="10"/>
  <c r="D247" i="10"/>
  <c r="D248" i="10"/>
  <c r="E100" i="13" a="1"/>
  <c r="E100" i="13"/>
  <c r="H100" i="13"/>
  <c r="D249" i="10"/>
  <c r="D250" i="10"/>
  <c r="D251" i="10"/>
  <c r="D252" i="10"/>
  <c r="D253" i="10"/>
  <c r="D254" i="10"/>
  <c r="D255" i="10"/>
  <c r="D256" i="10"/>
  <c r="D257" i="10"/>
  <c r="D258" i="10"/>
  <c r="D259" i="10"/>
  <c r="D260" i="10"/>
  <c r="D261" i="10"/>
  <c r="D262" i="10"/>
  <c r="D263" i="10"/>
  <c r="D245" i="10"/>
  <c r="E107" i="13" a="1"/>
  <c r="E107" i="13"/>
  <c r="B246" i="10"/>
  <c r="B247" i="10"/>
  <c r="B248" i="10"/>
  <c r="B249" i="10"/>
  <c r="B250" i="10"/>
  <c r="B251" i="10"/>
  <c r="B252" i="10"/>
  <c r="B253" i="10"/>
  <c r="B254" i="10"/>
  <c r="B255" i="10"/>
  <c r="E104" i="13" a="1"/>
  <c r="E104" i="13"/>
  <c r="H104" i="13"/>
  <c r="B256" i="10"/>
  <c r="B257" i="10"/>
  <c r="B258" i="10"/>
  <c r="B259" i="10"/>
  <c r="B260" i="10"/>
  <c r="B261" i="10"/>
  <c r="B262" i="10"/>
  <c r="B263" i="10"/>
  <c r="B245" i="10"/>
  <c r="AN297" i="10"/>
  <c r="D91" i="16"/>
  <c r="D92" i="16"/>
  <c r="BZ24" i="8"/>
  <c r="BZ33" i="8"/>
  <c r="AH296" i="10"/>
  <c r="AE296" i="10"/>
  <c r="D75" i="16"/>
  <c r="AB296" i="10"/>
  <c r="Y296" i="10"/>
  <c r="D65" i="16"/>
  <c r="V296" i="10"/>
  <c r="D60" i="16"/>
  <c r="D100" i="16"/>
  <c r="D110" i="16"/>
  <c r="S296" i="10"/>
  <c r="D55" i="16"/>
  <c r="AO265" i="10"/>
  <c r="W2241" i="1"/>
  <c r="W2242" i="1"/>
  <c r="W2243" i="1"/>
  <c r="W2244" i="1"/>
  <c r="W2245" i="1"/>
  <c r="W2246" i="1"/>
  <c r="W2247" i="1"/>
  <c r="W2248" i="1"/>
  <c r="W2249" i="1"/>
  <c r="W2250" i="1"/>
  <c r="W2251" i="1"/>
  <c r="W2253" i="1"/>
  <c r="W2254" i="1"/>
  <c r="W2255" i="1"/>
  <c r="W2256" i="1"/>
  <c r="W2257" i="1"/>
  <c r="W2258" i="1"/>
  <c r="W2259" i="1"/>
  <c r="W2260" i="1"/>
  <c r="W2240" i="1"/>
  <c r="W2239" i="1"/>
  <c r="W2216" i="1"/>
  <c r="W2217" i="1"/>
  <c r="W2218" i="1"/>
  <c r="W2219" i="1"/>
  <c r="W2220" i="1"/>
  <c r="W2221" i="1"/>
  <c r="W2222" i="1"/>
  <c r="W2223" i="1"/>
  <c r="W2224" i="1"/>
  <c r="W2225" i="1"/>
  <c r="W2226" i="1"/>
  <c r="W2228" i="1"/>
  <c r="W2229" i="1"/>
  <c r="W2230" i="1"/>
  <c r="W2231" i="1"/>
  <c r="W2232" i="1"/>
  <c r="W2233" i="1"/>
  <c r="W2234" i="1"/>
  <c r="W2235" i="1"/>
  <c r="W2215" i="1"/>
  <c r="W2214" i="1"/>
  <c r="W2191" i="1"/>
  <c r="W2192" i="1"/>
  <c r="W2193" i="1"/>
  <c r="W2194" i="1"/>
  <c r="W2195" i="1"/>
  <c r="W2196" i="1"/>
  <c r="W2198" i="1"/>
  <c r="W2199" i="1"/>
  <c r="W2200" i="1"/>
  <c r="W2201" i="1"/>
  <c r="W2203" i="1"/>
  <c r="W2204" i="1"/>
  <c r="W2205" i="1"/>
  <c r="W2206" i="1"/>
  <c r="W2207" i="1"/>
  <c r="W2208" i="1"/>
  <c r="W2209" i="1"/>
  <c r="W2210" i="1"/>
  <c r="W2190" i="1"/>
  <c r="W2189" i="1"/>
  <c r="W2166" i="1"/>
  <c r="W2167" i="1"/>
  <c r="W2168" i="1"/>
  <c r="W2169" i="1"/>
  <c r="W2170" i="1"/>
  <c r="W2171" i="1"/>
  <c r="W2172" i="1"/>
  <c r="W2173" i="1"/>
  <c r="W2174" i="1"/>
  <c r="W2175" i="1"/>
  <c r="W2176" i="1"/>
  <c r="W2178" i="1"/>
  <c r="W2179" i="1"/>
  <c r="W2180" i="1"/>
  <c r="W2181" i="1"/>
  <c r="W2182" i="1"/>
  <c r="W2183" i="1"/>
  <c r="W2184" i="1"/>
  <c r="W2185" i="1"/>
  <c r="W2165" i="1"/>
  <c r="W2164" i="1"/>
  <c r="W2141" i="1"/>
  <c r="W2142" i="1"/>
  <c r="W2143" i="1"/>
  <c r="W2144" i="1"/>
  <c r="W2145" i="1"/>
  <c r="W2146" i="1"/>
  <c r="W2147" i="1"/>
  <c r="W2148" i="1"/>
  <c r="W2149" i="1"/>
  <c r="W2150" i="1"/>
  <c r="W2151" i="1"/>
  <c r="W2153" i="1"/>
  <c r="W2154" i="1"/>
  <c r="W2155" i="1"/>
  <c r="W2156" i="1"/>
  <c r="W2157" i="1"/>
  <c r="W2158" i="1"/>
  <c r="W2159" i="1"/>
  <c r="W2160" i="1"/>
  <c r="W2140" i="1"/>
  <c r="W2139" i="1"/>
  <c r="W2091" i="1"/>
  <c r="W2092" i="1"/>
  <c r="W2093" i="1"/>
  <c r="W2094" i="1"/>
  <c r="W2095" i="1"/>
  <c r="W2096" i="1"/>
  <c r="W2097" i="1"/>
  <c r="W2098" i="1"/>
  <c r="W2099" i="1"/>
  <c r="W2100" i="1"/>
  <c r="W2101" i="1"/>
  <c r="W2103" i="1"/>
  <c r="W2104" i="1"/>
  <c r="W2105" i="1"/>
  <c r="W2106" i="1"/>
  <c r="W2107" i="1"/>
  <c r="W2108" i="1"/>
  <c r="W2109" i="1"/>
  <c r="W2110" i="1"/>
  <c r="W2090" i="1"/>
  <c r="W2089" i="1"/>
  <c r="W2128" i="1"/>
  <c r="W2129" i="1"/>
  <c r="W2130" i="1"/>
  <c r="W2131" i="1"/>
  <c r="W2132" i="1"/>
  <c r="W2133" i="1"/>
  <c r="W2134" i="1"/>
  <c r="W2135" i="1"/>
  <c r="W2116" i="1"/>
  <c r="W2117" i="1"/>
  <c r="W2118" i="1"/>
  <c r="W2119" i="1"/>
  <c r="W2120" i="1"/>
  <c r="W2121" i="1"/>
  <c r="W2122" i="1"/>
  <c r="W2123" i="1"/>
  <c r="W2124" i="1"/>
  <c r="W2125" i="1"/>
  <c r="W2126" i="1"/>
  <c r="W2115" i="1"/>
  <c r="W2114" i="1"/>
  <c r="AK297" i="10"/>
  <c r="D86" i="16"/>
  <c r="L121" i="10"/>
  <c r="M121" i="10"/>
  <c r="L124" i="10"/>
  <c r="M124" i="10"/>
  <c r="L125" i="10"/>
  <c r="M125" i="10"/>
  <c r="L126" i="10"/>
  <c r="M126" i="10"/>
  <c r="L127" i="10"/>
  <c r="M127" i="10"/>
  <c r="L128" i="10"/>
  <c r="M128" i="10"/>
  <c r="L132" i="10"/>
  <c r="M132" i="10"/>
  <c r="L133" i="10"/>
  <c r="M133" i="10"/>
  <c r="L134" i="10"/>
  <c r="M134" i="10"/>
  <c r="L136" i="10"/>
  <c r="M136" i="10"/>
  <c r="J121" i="10"/>
  <c r="K121" i="10"/>
  <c r="J124" i="10"/>
  <c r="K124" i="10"/>
  <c r="J125" i="10"/>
  <c r="K125" i="10"/>
  <c r="J126" i="10"/>
  <c r="K126" i="10"/>
  <c r="J127" i="10"/>
  <c r="K127" i="10"/>
  <c r="J128" i="10"/>
  <c r="K128" i="10"/>
  <c r="J132" i="10"/>
  <c r="K132" i="10"/>
  <c r="J133" i="10"/>
  <c r="K133" i="10"/>
  <c r="J134" i="10"/>
  <c r="K134" i="10"/>
  <c r="J136" i="10"/>
  <c r="K136" i="10"/>
  <c r="H121" i="10"/>
  <c r="I121" i="10"/>
  <c r="H124" i="10"/>
  <c r="I124" i="10"/>
  <c r="H125" i="10"/>
  <c r="I125" i="10"/>
  <c r="H126" i="10"/>
  <c r="I126" i="10"/>
  <c r="H127" i="10"/>
  <c r="I127" i="10"/>
  <c r="H128" i="10"/>
  <c r="I128" i="10"/>
  <c r="H132" i="10"/>
  <c r="I132" i="10"/>
  <c r="H133" i="10"/>
  <c r="I133" i="10"/>
  <c r="H134" i="10"/>
  <c r="I134" i="10"/>
  <c r="H136" i="10"/>
  <c r="I136" i="10"/>
  <c r="D121" i="10"/>
  <c r="E121" i="10"/>
  <c r="D124" i="10"/>
  <c r="E124" i="10"/>
  <c r="D125" i="10"/>
  <c r="E125" i="10"/>
  <c r="D126" i="10"/>
  <c r="E126" i="10"/>
  <c r="D127" i="10"/>
  <c r="E127" i="10"/>
  <c r="D128" i="10"/>
  <c r="E128" i="10"/>
  <c r="D132" i="10"/>
  <c r="E132" i="10"/>
  <c r="D133" i="10"/>
  <c r="E133" i="10"/>
  <c r="D134" i="10"/>
  <c r="E134" i="10"/>
  <c r="D136" i="10"/>
  <c r="E136" i="10"/>
  <c r="B121" i="10"/>
  <c r="C121" i="10"/>
  <c r="B124" i="10"/>
  <c r="C124" i="10"/>
  <c r="B125" i="10"/>
  <c r="C125" i="10"/>
  <c r="B126" i="10"/>
  <c r="C126" i="10"/>
  <c r="B127" i="10"/>
  <c r="C127" i="10"/>
  <c r="B128" i="10"/>
  <c r="C128" i="10"/>
  <c r="B132" i="10"/>
  <c r="C132" i="10"/>
  <c r="B133" i="10"/>
  <c r="C133" i="10"/>
  <c r="B134" i="10"/>
  <c r="C134" i="10"/>
  <c r="B136" i="10"/>
  <c r="C136" i="10"/>
  <c r="X563" i="1"/>
  <c r="X2258" i="1"/>
  <c r="Y2258" i="1"/>
  <c r="X2259" i="1"/>
  <c r="Y2259" i="1"/>
  <c r="Z2259" i="1"/>
  <c r="X2260" i="1"/>
  <c r="Y2260" i="1"/>
  <c r="X2233" i="1"/>
  <c r="Y2233" i="1"/>
  <c r="X2234" i="1"/>
  <c r="Y2234" i="1"/>
  <c r="X2235" i="1"/>
  <c r="Y2235" i="1"/>
  <c r="Z2235" i="1"/>
  <c r="X2184" i="1"/>
  <c r="Y2184" i="1"/>
  <c r="X2185" i="1"/>
  <c r="Y2185" i="1"/>
  <c r="X2133" i="1"/>
  <c r="Y2133" i="1"/>
  <c r="X2134" i="1"/>
  <c r="Y2134" i="1"/>
  <c r="X2135" i="1"/>
  <c r="Y2135" i="1"/>
  <c r="X2157" i="1"/>
  <c r="Y2157" i="1"/>
  <c r="X2158" i="1"/>
  <c r="Y2158" i="1"/>
  <c r="X2159" i="1"/>
  <c r="Y2159" i="1"/>
  <c r="Z2159" i="1"/>
  <c r="X2160" i="1"/>
  <c r="Y2160" i="1"/>
  <c r="X2108" i="1"/>
  <c r="Y2108" i="1"/>
  <c r="X2109" i="1"/>
  <c r="Y2109" i="1"/>
  <c r="X2110" i="1"/>
  <c r="Y2110" i="1"/>
  <c r="Z2110" i="1"/>
  <c r="R2258" i="1"/>
  <c r="S2258" i="1"/>
  <c r="T2258" i="1"/>
  <c r="G210" i="11"/>
  <c r="U2258" i="1"/>
  <c r="R2260" i="1"/>
  <c r="S2260" i="1"/>
  <c r="T2260" i="1"/>
  <c r="G212" i="11"/>
  <c r="U2260" i="1"/>
  <c r="R2259" i="1"/>
  <c r="S2259" i="1"/>
  <c r="T2259" i="1"/>
  <c r="G211" i="11"/>
  <c r="N211" i="11"/>
  <c r="O211" i="11"/>
  <c r="U2259" i="1"/>
  <c r="R2257" i="1"/>
  <c r="S2257" i="1"/>
  <c r="T2257" i="1"/>
  <c r="U2257" i="1"/>
  <c r="Q2256" i="1"/>
  <c r="Q2258" i="1"/>
  <c r="Q2260" i="1"/>
  <c r="Q2259" i="1"/>
  <c r="R2233" i="1"/>
  <c r="S2233" i="1"/>
  <c r="T2233" i="1"/>
  <c r="F180" i="11"/>
  <c r="I180" i="11"/>
  <c r="U2233" i="1"/>
  <c r="R2235" i="1"/>
  <c r="S2235" i="1"/>
  <c r="T2235" i="1"/>
  <c r="F182" i="11"/>
  <c r="I182" i="11"/>
  <c r="U2235" i="1"/>
  <c r="R2234" i="1"/>
  <c r="S2234" i="1"/>
  <c r="T2234" i="1"/>
  <c r="G181" i="11"/>
  <c r="U2234" i="1"/>
  <c r="Q2233" i="1"/>
  <c r="Q2235" i="1"/>
  <c r="Q2234" i="1"/>
  <c r="Q2232" i="1"/>
  <c r="R2108" i="1"/>
  <c r="S2108" i="1"/>
  <c r="T2108" i="1"/>
  <c r="G30" i="11"/>
  <c r="N30" i="11"/>
  <c r="O30" i="11"/>
  <c r="U2108" i="1"/>
  <c r="R2110" i="1"/>
  <c r="S2110" i="1"/>
  <c r="T2110" i="1"/>
  <c r="U2110" i="1"/>
  <c r="R2109" i="1"/>
  <c r="S2109" i="1"/>
  <c r="T2109" i="1"/>
  <c r="F31" i="11"/>
  <c r="I31" i="11"/>
  <c r="U2109" i="1"/>
  <c r="Q2108" i="1"/>
  <c r="Q2110" i="1"/>
  <c r="Q2109" i="1"/>
  <c r="R2133" i="1"/>
  <c r="S2133" i="1"/>
  <c r="T2133" i="1"/>
  <c r="U2133" i="1"/>
  <c r="R2135" i="1"/>
  <c r="S2135" i="1"/>
  <c r="T2135" i="1"/>
  <c r="G62" i="11"/>
  <c r="K62" i="11"/>
  <c r="L62" i="11"/>
  <c r="U2135" i="1"/>
  <c r="R2134" i="1"/>
  <c r="S2134" i="1"/>
  <c r="T2134" i="1"/>
  <c r="U2134" i="1"/>
  <c r="Q2133" i="1"/>
  <c r="Q2135" i="1"/>
  <c r="Q2134" i="1"/>
  <c r="R2206" i="1"/>
  <c r="S2206" i="1"/>
  <c r="T2206" i="1"/>
  <c r="U2206" i="1"/>
  <c r="R2208" i="1"/>
  <c r="S2208" i="1"/>
  <c r="T2208" i="1"/>
  <c r="U2208" i="1"/>
  <c r="R2210" i="1"/>
  <c r="S2210" i="1"/>
  <c r="T2210" i="1"/>
  <c r="U2210" i="1"/>
  <c r="R2209" i="1"/>
  <c r="S2209" i="1"/>
  <c r="T2209" i="1"/>
  <c r="U2209" i="1"/>
  <c r="Q2208" i="1"/>
  <c r="Q2210" i="1"/>
  <c r="Q2209" i="1"/>
  <c r="R2185" i="1"/>
  <c r="S2185" i="1"/>
  <c r="T2185" i="1"/>
  <c r="G122" i="11"/>
  <c r="U2185" i="1"/>
  <c r="R2184" i="1"/>
  <c r="S2184" i="1"/>
  <c r="T2184" i="1"/>
  <c r="U2184" i="1"/>
  <c r="Q2185" i="1"/>
  <c r="Q2184" i="1"/>
  <c r="R2158" i="1"/>
  <c r="S2158" i="1"/>
  <c r="T2158" i="1"/>
  <c r="G90" i="11"/>
  <c r="U2158" i="1"/>
  <c r="R2160" i="1"/>
  <c r="S2160" i="1"/>
  <c r="T2160" i="1"/>
  <c r="U2160" i="1"/>
  <c r="R2159" i="1"/>
  <c r="S2159" i="1"/>
  <c r="T2159" i="1"/>
  <c r="G91" i="11"/>
  <c r="K91" i="11"/>
  <c r="L91" i="11"/>
  <c r="U2159" i="1"/>
  <c r="Q2158" i="1"/>
  <c r="Q2160" i="1"/>
  <c r="Q2159" i="1"/>
  <c r="X2209" i="1"/>
  <c r="Y2209" i="1"/>
  <c r="Z2209" i="1"/>
  <c r="R2251" i="1"/>
  <c r="S2251" i="1"/>
  <c r="T2251" i="1"/>
  <c r="U2251" i="1"/>
  <c r="Q2251" i="1"/>
  <c r="R2226" i="1"/>
  <c r="S2226" i="1"/>
  <c r="T2226" i="1"/>
  <c r="G172" i="11"/>
  <c r="K172" i="11"/>
  <c r="L172" i="11"/>
  <c r="U2226" i="1"/>
  <c r="Q2226" i="1"/>
  <c r="R2201" i="1"/>
  <c r="S2201" i="1"/>
  <c r="T2201" i="1"/>
  <c r="U2201" i="1"/>
  <c r="Q2201" i="1"/>
  <c r="R2176" i="1"/>
  <c r="S2176" i="1"/>
  <c r="T2176" i="1"/>
  <c r="G112" i="11"/>
  <c r="N112" i="11"/>
  <c r="O112" i="11"/>
  <c r="U2176" i="1"/>
  <c r="Q2176" i="1"/>
  <c r="Y2251" i="1"/>
  <c r="X2251" i="1"/>
  <c r="Y2226" i="1"/>
  <c r="X2226" i="1"/>
  <c r="Y2201" i="1"/>
  <c r="X2201" i="1"/>
  <c r="Y2176" i="1"/>
  <c r="X2176" i="1"/>
  <c r="Y2151" i="1"/>
  <c r="X2151" i="1"/>
  <c r="R2151" i="1"/>
  <c r="S2151" i="1"/>
  <c r="T2151" i="1"/>
  <c r="U2151" i="1"/>
  <c r="Q2151" i="1"/>
  <c r="Y2101" i="1"/>
  <c r="X2101" i="1"/>
  <c r="R2101" i="1"/>
  <c r="S2101" i="1"/>
  <c r="T2101" i="1"/>
  <c r="F22" i="11"/>
  <c r="I22" i="11"/>
  <c r="U2101" i="1"/>
  <c r="Q2101" i="1"/>
  <c r="Y1750" i="1"/>
  <c r="Z1750" i="1"/>
  <c r="Y1751" i="1"/>
  <c r="Z1751" i="1"/>
  <c r="Y1752" i="1"/>
  <c r="Z1752" i="1"/>
  <c r="X1753" i="1"/>
  <c r="Y1753" i="1"/>
  <c r="Z1753" i="1"/>
  <c r="X1754" i="1"/>
  <c r="Y1754" i="1"/>
  <c r="Z1754" i="1"/>
  <c r="Y1755" i="1"/>
  <c r="Z1755" i="1"/>
  <c r="Y1756" i="1"/>
  <c r="Z1756" i="1"/>
  <c r="Y1757" i="1"/>
  <c r="Z1757" i="1"/>
  <c r="Y1758" i="1"/>
  <c r="Z1758" i="1"/>
  <c r="Y1759" i="1"/>
  <c r="Z1759" i="1"/>
  <c r="Y1760" i="1"/>
  <c r="Z1760" i="1"/>
  <c r="Y1761" i="1"/>
  <c r="Z1761" i="1"/>
  <c r="Y1762" i="1"/>
  <c r="Z1762" i="1"/>
  <c r="Y1763" i="1"/>
  <c r="Z1763" i="1"/>
  <c r="X1764" i="1"/>
  <c r="Y1764" i="1"/>
  <c r="Z1764" i="1"/>
  <c r="Y1765" i="1"/>
  <c r="Z1765" i="1"/>
  <c r="Y1766" i="1"/>
  <c r="Z1766" i="1"/>
  <c r="Y1767" i="1"/>
  <c r="Z1767" i="1"/>
  <c r="Y1768" i="1"/>
  <c r="Z1768" i="1"/>
  <c r="Y1769" i="1"/>
  <c r="Z1769" i="1"/>
  <c r="X1770" i="1"/>
  <c r="Y1770" i="1"/>
  <c r="Z1770" i="1"/>
  <c r="Y1771" i="1"/>
  <c r="Z1771" i="1"/>
  <c r="Y1772" i="1"/>
  <c r="Z1772" i="1"/>
  <c r="Y1773" i="1"/>
  <c r="Z1773" i="1"/>
  <c r="Y1774" i="1"/>
  <c r="Z1774" i="1"/>
  <c r="Y1775" i="1"/>
  <c r="Z1775" i="1"/>
  <c r="Y1776" i="1"/>
  <c r="Z1776" i="1"/>
  <c r="Y1777" i="1"/>
  <c r="Z1777" i="1"/>
  <c r="Y1778" i="1"/>
  <c r="Z1778" i="1"/>
  <c r="X1779" i="1"/>
  <c r="Y1779" i="1"/>
  <c r="Z1779" i="1"/>
  <c r="Y1780" i="1"/>
  <c r="Z1780" i="1"/>
  <c r="Y1781" i="1"/>
  <c r="Z1781" i="1"/>
  <c r="Y1782" i="1"/>
  <c r="Z1782" i="1"/>
  <c r="X1783" i="1"/>
  <c r="Y1783" i="1"/>
  <c r="Z1783" i="1"/>
  <c r="Y1784" i="1"/>
  <c r="Z1784" i="1"/>
  <c r="Y1785" i="1"/>
  <c r="Z1785" i="1"/>
  <c r="X1786" i="1"/>
  <c r="Y1786" i="1"/>
  <c r="Z1786" i="1"/>
  <c r="X1787" i="1"/>
  <c r="Y1787" i="1"/>
  <c r="Z1787" i="1"/>
  <c r="X1788" i="1"/>
  <c r="Y1788" i="1"/>
  <c r="Z1788" i="1"/>
  <c r="Y1789" i="1"/>
  <c r="Z1789" i="1"/>
  <c r="Y1790" i="1"/>
  <c r="Z1790" i="1"/>
  <c r="Y1791" i="1"/>
  <c r="Z1791" i="1"/>
  <c r="Y1792" i="1"/>
  <c r="Z1792" i="1"/>
  <c r="Y1793" i="1"/>
  <c r="Z1793" i="1"/>
  <c r="Y1794" i="1"/>
  <c r="Z1794" i="1"/>
  <c r="Y1795" i="1"/>
  <c r="Z1795" i="1"/>
  <c r="Y1796" i="1"/>
  <c r="Z1796" i="1"/>
  <c r="Y1797" i="1"/>
  <c r="Z1797" i="1"/>
  <c r="Y1798" i="1"/>
  <c r="Z1798" i="1"/>
  <c r="Y1799" i="1"/>
  <c r="Z1799" i="1"/>
  <c r="Y1800" i="1"/>
  <c r="Z1800" i="1"/>
  <c r="Y1801" i="1"/>
  <c r="Z1801" i="1"/>
  <c r="Y1802" i="1"/>
  <c r="Z1802" i="1"/>
  <c r="X1803" i="1"/>
  <c r="Y1803" i="1"/>
  <c r="Z1803" i="1"/>
  <c r="X1804" i="1"/>
  <c r="Y1804" i="1"/>
  <c r="Z1804" i="1"/>
  <c r="X1805" i="1"/>
  <c r="Y1805" i="1"/>
  <c r="Z1805" i="1"/>
  <c r="Y1806" i="1"/>
  <c r="Z1806" i="1"/>
  <c r="Y1807" i="1"/>
  <c r="Z1807" i="1"/>
  <c r="Y1808" i="1"/>
  <c r="Z1808" i="1"/>
  <c r="Y1809" i="1"/>
  <c r="Z1809" i="1"/>
  <c r="Y1810" i="1"/>
  <c r="Z1810" i="1"/>
  <c r="Y1811" i="1"/>
  <c r="Z1811" i="1"/>
  <c r="Y1812" i="1"/>
  <c r="Z1812" i="1"/>
  <c r="X1813" i="1"/>
  <c r="Y1813" i="1"/>
  <c r="Z1813" i="1"/>
  <c r="X1814" i="1"/>
  <c r="Y1814" i="1"/>
  <c r="Z1814" i="1"/>
  <c r="Y1815" i="1"/>
  <c r="Z1815" i="1"/>
  <c r="Y1816" i="1"/>
  <c r="Z1816" i="1"/>
  <c r="Y1817" i="1"/>
  <c r="Z1817" i="1"/>
  <c r="Y1818" i="1"/>
  <c r="Z1818" i="1"/>
  <c r="Y1819" i="1"/>
  <c r="Z1819" i="1"/>
  <c r="Y1820" i="1"/>
  <c r="Z1820" i="1"/>
  <c r="Y1821" i="1"/>
  <c r="Z1821" i="1"/>
  <c r="Y1822" i="1"/>
  <c r="Z1822" i="1"/>
  <c r="Y1823" i="1"/>
  <c r="Z1823" i="1"/>
  <c r="Y1824" i="1"/>
  <c r="Z1824" i="1"/>
  <c r="Y1825" i="1"/>
  <c r="Z1825" i="1"/>
  <c r="Y1826" i="1"/>
  <c r="Z1826" i="1"/>
  <c r="Y1827" i="1"/>
  <c r="Z1827" i="1"/>
  <c r="Y1828" i="1"/>
  <c r="Z1828" i="1"/>
  <c r="Y1829" i="1"/>
  <c r="Z1829" i="1"/>
  <c r="X1830" i="1"/>
  <c r="Y1830" i="1"/>
  <c r="Z1830" i="1"/>
  <c r="Y1831" i="1"/>
  <c r="Z1831" i="1"/>
  <c r="Y1832" i="1"/>
  <c r="Z1832" i="1"/>
  <c r="Y1833" i="1"/>
  <c r="Z1833" i="1"/>
  <c r="Y1834" i="1"/>
  <c r="Z1834" i="1"/>
  <c r="Y1835" i="1"/>
  <c r="Z1835" i="1"/>
  <c r="Y1836" i="1"/>
  <c r="Z1836" i="1"/>
  <c r="Y1837" i="1"/>
  <c r="Z1837" i="1"/>
  <c r="X1838" i="1"/>
  <c r="Y1838" i="1"/>
  <c r="Z1838" i="1"/>
  <c r="X1839" i="1"/>
  <c r="Y1839" i="1"/>
  <c r="Z1839" i="1"/>
  <c r="Y1840" i="1"/>
  <c r="Z1840" i="1"/>
  <c r="Y1841" i="1"/>
  <c r="Z1841" i="1"/>
  <c r="Y1842" i="1"/>
  <c r="Z1842" i="1"/>
  <c r="X1843" i="1"/>
  <c r="Y1843" i="1"/>
  <c r="Z1843" i="1"/>
  <c r="X1844" i="1"/>
  <c r="Y1844" i="1"/>
  <c r="Z1844" i="1"/>
  <c r="Y1845" i="1"/>
  <c r="Z1845" i="1"/>
  <c r="Y1846" i="1"/>
  <c r="Z1846" i="1"/>
  <c r="Y1847" i="1"/>
  <c r="Z1847" i="1"/>
  <c r="Y1848" i="1"/>
  <c r="Z1848" i="1"/>
  <c r="Y1849" i="1"/>
  <c r="Z1849" i="1"/>
  <c r="Y1850" i="1"/>
  <c r="Z1850" i="1"/>
  <c r="X1851" i="1"/>
  <c r="Y1851" i="1"/>
  <c r="Z1851" i="1"/>
  <c r="Y1852" i="1"/>
  <c r="Z1852" i="1"/>
  <c r="Y1853" i="1"/>
  <c r="Z1853" i="1"/>
  <c r="Y1854" i="1"/>
  <c r="Z1854" i="1"/>
  <c r="Y1855" i="1"/>
  <c r="Z1855" i="1"/>
  <c r="Y1856" i="1"/>
  <c r="Z1856" i="1"/>
  <c r="X1857" i="1"/>
  <c r="Y1857" i="1"/>
  <c r="Z1857" i="1"/>
  <c r="X1858" i="1"/>
  <c r="Y1858" i="1"/>
  <c r="Z1858" i="1"/>
  <c r="X1859" i="1"/>
  <c r="Y1859" i="1"/>
  <c r="Z1859" i="1"/>
  <c r="X1860" i="1"/>
  <c r="Y1860" i="1"/>
  <c r="Z1860" i="1"/>
  <c r="X1861" i="1"/>
  <c r="Y1861" i="1"/>
  <c r="Z1861" i="1"/>
  <c r="X1862" i="1"/>
  <c r="Y1862" i="1"/>
  <c r="Z1862" i="1"/>
  <c r="Y1863" i="1"/>
  <c r="Z1863" i="1"/>
  <c r="Y1864" i="1"/>
  <c r="Z1864" i="1"/>
  <c r="Y1865" i="1"/>
  <c r="Z1865" i="1"/>
  <c r="Y1866" i="1"/>
  <c r="Z1866" i="1"/>
  <c r="Y1867" i="1"/>
  <c r="Z1867" i="1"/>
  <c r="Y1868" i="1"/>
  <c r="Z1868" i="1"/>
  <c r="Y1869" i="1"/>
  <c r="Z1869" i="1"/>
  <c r="Y1870" i="1"/>
  <c r="Z1870" i="1"/>
  <c r="X1871" i="1"/>
  <c r="Y1871" i="1"/>
  <c r="Z1871" i="1"/>
  <c r="X1872" i="1"/>
  <c r="Y1872" i="1"/>
  <c r="Z1872" i="1"/>
  <c r="Y1873" i="1"/>
  <c r="Z1873" i="1"/>
  <c r="Y1874" i="1"/>
  <c r="Z1874" i="1"/>
  <c r="Y1875" i="1"/>
  <c r="Z1875" i="1"/>
  <c r="Y1876" i="1"/>
  <c r="Z1876" i="1"/>
  <c r="Y1877" i="1"/>
  <c r="Z1877" i="1"/>
  <c r="X1878" i="1"/>
  <c r="Y1878" i="1"/>
  <c r="Z1878" i="1"/>
  <c r="Y1879" i="1"/>
  <c r="Z1879" i="1"/>
  <c r="Y1880" i="1"/>
  <c r="Z1880" i="1"/>
  <c r="Y1881" i="1"/>
  <c r="Z1881" i="1"/>
  <c r="Y1882" i="1"/>
  <c r="Z1882" i="1"/>
  <c r="Y1883" i="1"/>
  <c r="Z1883" i="1"/>
  <c r="Y1884" i="1"/>
  <c r="Z1884" i="1"/>
  <c r="Y1885" i="1"/>
  <c r="Z1885" i="1"/>
  <c r="X1886" i="1"/>
  <c r="Y1886" i="1"/>
  <c r="Z1886" i="1"/>
  <c r="X1887" i="1"/>
  <c r="Y1887" i="1"/>
  <c r="Z1887" i="1"/>
  <c r="X1888" i="1"/>
  <c r="Y1888" i="1"/>
  <c r="Z1888" i="1"/>
  <c r="X1889" i="1"/>
  <c r="Y1889" i="1"/>
  <c r="Z1889" i="1"/>
  <c r="X1890" i="1"/>
  <c r="Y1890" i="1"/>
  <c r="Z1890" i="1"/>
  <c r="X1891" i="1"/>
  <c r="Y1891" i="1"/>
  <c r="Z1891" i="1"/>
  <c r="X1892" i="1"/>
  <c r="Y1892" i="1"/>
  <c r="Z1892" i="1"/>
  <c r="X1893" i="1"/>
  <c r="Y1893" i="1"/>
  <c r="Z1893" i="1"/>
  <c r="X1894" i="1"/>
  <c r="Y1894" i="1"/>
  <c r="Z1894" i="1"/>
  <c r="Y1895" i="1"/>
  <c r="Z1895" i="1"/>
  <c r="X1896" i="1"/>
  <c r="Y1896" i="1"/>
  <c r="Z1896" i="1"/>
  <c r="X1897" i="1"/>
  <c r="Y1897" i="1"/>
  <c r="Z1897" i="1"/>
  <c r="X1898" i="1"/>
  <c r="Y1898" i="1"/>
  <c r="Z1898" i="1"/>
  <c r="X1899" i="1"/>
  <c r="Y1899" i="1"/>
  <c r="Z1899" i="1"/>
  <c r="Y1900" i="1"/>
  <c r="Z1900" i="1"/>
  <c r="Y1901" i="1"/>
  <c r="Z1901" i="1"/>
  <c r="Y1902" i="1"/>
  <c r="Z1902" i="1"/>
  <c r="X1903" i="1"/>
  <c r="Y1903" i="1"/>
  <c r="Z1903" i="1"/>
  <c r="X1904" i="1"/>
  <c r="Y1904" i="1"/>
  <c r="Z1904" i="1"/>
  <c r="X1905" i="1"/>
  <c r="Y1905" i="1"/>
  <c r="Z1905" i="1"/>
  <c r="X1906" i="1"/>
  <c r="Y1906" i="1"/>
  <c r="Z1906" i="1"/>
  <c r="X1907" i="1"/>
  <c r="Y1907" i="1"/>
  <c r="Z1907" i="1"/>
  <c r="X1908" i="1"/>
  <c r="Y1908" i="1"/>
  <c r="Z1908" i="1"/>
  <c r="X2078" i="1"/>
  <c r="Y2078" i="1"/>
  <c r="Z2078" i="1"/>
  <c r="Y2079" i="1"/>
  <c r="Z2079" i="1"/>
  <c r="Y2080" i="1"/>
  <c r="Z2080" i="1"/>
  <c r="Y2081" i="1"/>
  <c r="Z2081" i="1"/>
  <c r="I351" i="7"/>
  <c r="I350" i="7"/>
  <c r="I349" i="7"/>
  <c r="I348" i="7"/>
  <c r="I347" i="7"/>
  <c r="I346" i="7"/>
  <c r="I345" i="7"/>
  <c r="I344" i="7"/>
  <c r="I343" i="7"/>
  <c r="I342" i="7"/>
  <c r="I341" i="7"/>
  <c r="I340" i="7"/>
  <c r="I335"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0" i="7"/>
  <c r="I287" i="7"/>
  <c r="I260"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0" i="7"/>
  <c r="I139" i="7"/>
  <c r="I138" i="7"/>
  <c r="I137" i="7"/>
  <c r="I136" i="7"/>
  <c r="I135" i="7"/>
  <c r="I134" i="7"/>
  <c r="I133" i="7"/>
  <c r="I132" i="7"/>
  <c r="I131" i="7"/>
  <c r="I130" i="7"/>
  <c r="I126" i="7"/>
  <c r="I125" i="7"/>
  <c r="I124" i="7"/>
  <c r="I123" i="7"/>
  <c r="I122" i="7"/>
  <c r="I115" i="7"/>
  <c r="I114" i="7"/>
  <c r="I86" i="7"/>
  <c r="I85" i="7"/>
  <c r="I84" i="7"/>
  <c r="I83" i="7"/>
  <c r="I82" i="7"/>
  <c r="I113" i="7"/>
  <c r="I112" i="7"/>
  <c r="I78" i="7"/>
  <c r="I77" i="7"/>
  <c r="I95" i="7"/>
  <c r="I60" i="7"/>
  <c r="I59" i="7"/>
  <c r="I56" i="7"/>
  <c r="I103" i="7"/>
  <c r="I100" i="7"/>
  <c r="I66" i="7"/>
  <c r="I65" i="7"/>
  <c r="I64" i="7"/>
  <c r="I63" i="7"/>
  <c r="I62" i="7"/>
  <c r="I61" i="7"/>
  <c r="I101" i="7"/>
  <c r="I72" i="7"/>
  <c r="I71" i="7"/>
  <c r="I70" i="7"/>
  <c r="I102" i="7"/>
  <c r="I90" i="7"/>
  <c r="I89" i="7"/>
  <c r="I107" i="7"/>
  <c r="I106" i="7"/>
  <c r="I105" i="7"/>
  <c r="I104" i="7"/>
  <c r="I53" i="7"/>
  <c r="I48" i="7"/>
  <c r="I47" i="7"/>
  <c r="I46" i="7"/>
  <c r="I45" i="7"/>
  <c r="I44" i="7"/>
  <c r="I26" i="7"/>
  <c r="I25" i="7"/>
  <c r="I24" i="7"/>
  <c r="I23" i="7"/>
  <c r="I22" i="7"/>
  <c r="I21" i="7"/>
  <c r="I20" i="7"/>
  <c r="I19" i="7"/>
  <c r="I32" i="7"/>
  <c r="I31" i="7"/>
  <c r="I30" i="7"/>
  <c r="I40" i="7"/>
  <c r="I39" i="7"/>
  <c r="I18" i="7"/>
  <c r="I17" i="7"/>
  <c r="I16" i="7"/>
  <c r="I15" i="7"/>
  <c r="I14" i="7"/>
  <c r="I13" i="7"/>
  <c r="I43" i="7"/>
  <c r="I42" i="7"/>
  <c r="I41" i="7"/>
  <c r="I55" i="7"/>
  <c r="I54" i="7"/>
  <c r="I9" i="7"/>
  <c r="I8" i="7"/>
  <c r="I7" i="7"/>
  <c r="I6" i="7"/>
  <c r="I5" i="7"/>
  <c r="I4" i="7"/>
  <c r="I3" i="7"/>
  <c r="I2" i="7"/>
  <c r="I52" i="7"/>
  <c r="I51" i="7"/>
  <c r="I27" i="7"/>
  <c r="I38" i="7"/>
  <c r="I37" i="7"/>
  <c r="I33" i="7"/>
  <c r="B11" i="9"/>
  <c r="AI239" i="10"/>
  <c r="G222" i="11"/>
  <c r="A33" i="6"/>
  <c r="A51" i="6"/>
  <c r="A71" i="6"/>
  <c r="A89" i="6"/>
  <c r="A108" i="6"/>
  <c r="A126" i="6"/>
  <c r="A146" i="6"/>
  <c r="A158" i="6"/>
  <c r="X889" i="1"/>
  <c r="X1303" i="1"/>
  <c r="Y1661" i="1"/>
  <c r="Z1661" i="1"/>
  <c r="Y1662" i="1"/>
  <c r="Z1662" i="1"/>
  <c r="Y1663" i="1"/>
  <c r="Z1663" i="1"/>
  <c r="Y1664" i="1"/>
  <c r="Z1664" i="1"/>
  <c r="Y1665" i="1"/>
  <c r="Z1665" i="1"/>
  <c r="Y1666" i="1"/>
  <c r="Z1666" i="1"/>
  <c r="Y1667" i="1"/>
  <c r="Z1667" i="1"/>
  <c r="Y1668" i="1"/>
  <c r="Z1668" i="1"/>
  <c r="Y1669" i="1"/>
  <c r="Z1669" i="1"/>
  <c r="Y1670" i="1"/>
  <c r="Z1670" i="1"/>
  <c r="Y1671" i="1"/>
  <c r="Z1671" i="1"/>
  <c r="Y1672" i="1"/>
  <c r="Z1672" i="1"/>
  <c r="Y1673" i="1"/>
  <c r="Z1673" i="1"/>
  <c r="Y1674" i="1"/>
  <c r="Z1674" i="1"/>
  <c r="Y1675" i="1"/>
  <c r="Z1675" i="1"/>
  <c r="Y1676" i="1"/>
  <c r="Z1676" i="1"/>
  <c r="Y1677" i="1"/>
  <c r="Z1677" i="1"/>
  <c r="Y1678" i="1"/>
  <c r="Z1678" i="1"/>
  <c r="Y1679" i="1"/>
  <c r="Z1679" i="1"/>
  <c r="Y1680" i="1"/>
  <c r="Z1680" i="1"/>
  <c r="Y1681" i="1"/>
  <c r="Z1681" i="1"/>
  <c r="Y1682" i="1"/>
  <c r="Z1682" i="1"/>
  <c r="Y1683" i="1"/>
  <c r="Z1683" i="1"/>
  <c r="Y1684" i="1"/>
  <c r="Z1684" i="1"/>
  <c r="Y1685" i="1"/>
  <c r="Z1685" i="1"/>
  <c r="Y1686" i="1"/>
  <c r="Z1686" i="1"/>
  <c r="Y1687" i="1"/>
  <c r="Z1687" i="1"/>
  <c r="Y1688" i="1"/>
  <c r="Z1688" i="1"/>
  <c r="Y1689" i="1"/>
  <c r="Z1689" i="1"/>
  <c r="Y1690" i="1"/>
  <c r="Z1690" i="1"/>
  <c r="X1691" i="1"/>
  <c r="Y1691" i="1"/>
  <c r="Z1691" i="1"/>
  <c r="X1692" i="1"/>
  <c r="Y1692" i="1"/>
  <c r="Z1692" i="1"/>
  <c r="Y1693" i="1"/>
  <c r="Z1693" i="1"/>
  <c r="Y1694" i="1"/>
  <c r="Z1694" i="1"/>
  <c r="Y1695" i="1"/>
  <c r="Z1695" i="1"/>
  <c r="Y1696" i="1"/>
  <c r="Z1696" i="1"/>
  <c r="Y1697" i="1"/>
  <c r="Z1697" i="1"/>
  <c r="Y1698" i="1"/>
  <c r="Z1698" i="1"/>
  <c r="Y1699" i="1"/>
  <c r="Z1699" i="1"/>
  <c r="Y1700" i="1"/>
  <c r="Z1700" i="1"/>
  <c r="Y1701" i="1"/>
  <c r="Z1701" i="1"/>
  <c r="Y1702" i="1"/>
  <c r="Z1702" i="1"/>
  <c r="Y1703" i="1"/>
  <c r="Z1703" i="1"/>
  <c r="Y1704" i="1"/>
  <c r="Z1704" i="1"/>
  <c r="Y1705" i="1"/>
  <c r="Z1705" i="1"/>
  <c r="Y1706" i="1"/>
  <c r="Z1706" i="1"/>
  <c r="Y1707" i="1"/>
  <c r="Z1707" i="1"/>
  <c r="Y1708" i="1"/>
  <c r="Z1708" i="1"/>
  <c r="Y1709" i="1"/>
  <c r="Z1709" i="1"/>
  <c r="Y1710" i="1"/>
  <c r="Z1710" i="1"/>
  <c r="Y1711" i="1"/>
  <c r="Z1711" i="1"/>
  <c r="Y1712" i="1"/>
  <c r="Z1712" i="1"/>
  <c r="Y1713" i="1"/>
  <c r="Z1713" i="1"/>
  <c r="Y1714" i="1"/>
  <c r="Z1714" i="1"/>
  <c r="Y1715" i="1"/>
  <c r="Z1715" i="1"/>
  <c r="Y1716" i="1"/>
  <c r="Z1716" i="1"/>
  <c r="Y1717" i="1"/>
  <c r="Z1717" i="1"/>
  <c r="Y1718" i="1"/>
  <c r="Z1718" i="1"/>
  <c r="Y1719" i="1"/>
  <c r="Z1719" i="1"/>
  <c r="Y1720" i="1"/>
  <c r="Z1720" i="1"/>
  <c r="Y1721" i="1"/>
  <c r="Z1721" i="1"/>
  <c r="Y1722" i="1"/>
  <c r="Z1722" i="1"/>
  <c r="Y1723" i="1"/>
  <c r="Z1723" i="1"/>
  <c r="Y1724" i="1"/>
  <c r="Z1724" i="1"/>
  <c r="Y1725" i="1"/>
  <c r="Z1725" i="1"/>
  <c r="X1726" i="1"/>
  <c r="Y1726" i="1"/>
  <c r="Z1726" i="1"/>
  <c r="Y1727" i="1"/>
  <c r="Z1727" i="1"/>
  <c r="Y1728" i="1"/>
  <c r="Z1728" i="1"/>
  <c r="Y1729" i="1"/>
  <c r="Z1729" i="1"/>
  <c r="Y1730" i="1"/>
  <c r="Z1730" i="1"/>
  <c r="Y1731" i="1"/>
  <c r="Z1731" i="1"/>
  <c r="Y1732" i="1"/>
  <c r="Z1732" i="1"/>
  <c r="Y1733" i="1"/>
  <c r="Z1733" i="1"/>
  <c r="Y1734" i="1"/>
  <c r="Z1734" i="1"/>
  <c r="Y1735" i="1"/>
  <c r="Z1735" i="1"/>
  <c r="Y1736" i="1"/>
  <c r="Z1736" i="1"/>
  <c r="Y1737" i="1"/>
  <c r="Z1737" i="1"/>
  <c r="Y1738" i="1"/>
  <c r="Z1738" i="1"/>
  <c r="Y1739" i="1"/>
  <c r="Z1739" i="1"/>
  <c r="Y1740" i="1"/>
  <c r="Z1740" i="1"/>
  <c r="Y1741" i="1"/>
  <c r="Z1741" i="1"/>
  <c r="Y1742" i="1"/>
  <c r="Z1742" i="1"/>
  <c r="Y1743" i="1"/>
  <c r="Z1743" i="1"/>
  <c r="Y1744" i="1"/>
  <c r="Z1744" i="1"/>
  <c r="Y1745" i="1"/>
  <c r="Z1745" i="1"/>
  <c r="Y1746" i="1"/>
  <c r="Z1746" i="1"/>
  <c r="Y1747" i="1"/>
  <c r="Z1747" i="1"/>
  <c r="Y1748" i="1"/>
  <c r="Z1748" i="1"/>
  <c r="Y1749" i="1"/>
  <c r="Z1749" i="1"/>
  <c r="K133" i="12"/>
  <c r="K132" i="12"/>
  <c r="K16" i="12"/>
  <c r="N16" i="12"/>
  <c r="K131" i="12"/>
  <c r="K11" i="12"/>
  <c r="N11" i="12"/>
  <c r="K130" i="12"/>
  <c r="K6" i="12"/>
  <c r="N6" i="12"/>
  <c r="K127" i="12"/>
  <c r="K13" i="12"/>
  <c r="N13" i="12"/>
  <c r="K126" i="12"/>
  <c r="K125" i="12"/>
  <c r="K17" i="12"/>
  <c r="N17" i="12"/>
  <c r="O17" i="12"/>
  <c r="K124" i="12"/>
  <c r="K12" i="12"/>
  <c r="N12" i="12"/>
  <c r="K123" i="12"/>
  <c r="K8" i="12"/>
  <c r="N8" i="12"/>
  <c r="O8" i="12"/>
  <c r="K122" i="12"/>
  <c r="K121" i="12"/>
  <c r="K120" i="12"/>
  <c r="K15" i="12"/>
  <c r="N15" i="12"/>
  <c r="K119" i="12"/>
  <c r="K14" i="12"/>
  <c r="N14" i="12"/>
  <c r="K118" i="12"/>
  <c r="K117" i="12"/>
  <c r="K7" i="12"/>
  <c r="N7" i="12"/>
  <c r="O7" i="12"/>
  <c r="K116" i="12"/>
  <c r="K5" i="12"/>
  <c r="N5" i="12"/>
  <c r="O5" i="12"/>
  <c r="X591" i="1"/>
  <c r="X592" i="1"/>
  <c r="Y460" i="1"/>
  <c r="X597" i="1"/>
  <c r="X609" i="1"/>
  <c r="X593" i="1"/>
  <c r="X603" i="1"/>
  <c r="Y2091" i="1"/>
  <c r="U2091" i="1"/>
  <c r="X1093" i="1"/>
  <c r="Y1569" i="1"/>
  <c r="Z1569" i="1"/>
  <c r="Y1570" i="1"/>
  <c r="Z1570" i="1"/>
  <c r="X1571" i="1"/>
  <c r="Y1571" i="1"/>
  <c r="Z1571" i="1"/>
  <c r="Y1572" i="1"/>
  <c r="Z1572" i="1"/>
  <c r="Y1573" i="1"/>
  <c r="Z1573" i="1"/>
  <c r="Y1574" i="1"/>
  <c r="Z1574" i="1"/>
  <c r="Y1575" i="1"/>
  <c r="Z1575" i="1"/>
  <c r="X1576" i="1"/>
  <c r="Y1576" i="1"/>
  <c r="Z1576" i="1"/>
  <c r="Y1577" i="1"/>
  <c r="Z1577" i="1"/>
  <c r="Y1578" i="1"/>
  <c r="Z1578" i="1"/>
  <c r="Y1579" i="1"/>
  <c r="Z1579" i="1"/>
  <c r="Y1580" i="1"/>
  <c r="Z1580" i="1"/>
  <c r="Y1581" i="1"/>
  <c r="Z1581" i="1"/>
  <c r="Y1582" i="1"/>
  <c r="Z1582" i="1"/>
  <c r="Y1583" i="1"/>
  <c r="Z1583" i="1"/>
  <c r="Y1584" i="1"/>
  <c r="Z1584" i="1"/>
  <c r="Y1585" i="1"/>
  <c r="Z1585" i="1"/>
  <c r="Y1586" i="1"/>
  <c r="Z1586" i="1"/>
  <c r="Y1587" i="1"/>
  <c r="Z1587" i="1"/>
  <c r="Y1588" i="1"/>
  <c r="Z1588" i="1"/>
  <c r="Y1589" i="1"/>
  <c r="Z1589" i="1"/>
  <c r="Y1590" i="1"/>
  <c r="Z1590" i="1"/>
  <c r="Y1591" i="1"/>
  <c r="Z1591" i="1"/>
  <c r="Y1592" i="1"/>
  <c r="Z1592" i="1"/>
  <c r="Y1593" i="1"/>
  <c r="Z1593" i="1"/>
  <c r="Y1594" i="1"/>
  <c r="Z1594" i="1"/>
  <c r="Y1595" i="1"/>
  <c r="Z1595" i="1"/>
  <c r="Y1596" i="1"/>
  <c r="Z1596" i="1"/>
  <c r="Y1597" i="1"/>
  <c r="Z1597" i="1"/>
  <c r="Y1598" i="1"/>
  <c r="Z1598" i="1"/>
  <c r="Y1599" i="1"/>
  <c r="Z1599" i="1"/>
  <c r="Y1600" i="1"/>
  <c r="Z1600" i="1"/>
  <c r="Y1601" i="1"/>
  <c r="Z1601" i="1"/>
  <c r="Y1602" i="1"/>
  <c r="Z1602" i="1"/>
  <c r="Y1603" i="1"/>
  <c r="Z1603" i="1"/>
  <c r="Y1604" i="1"/>
  <c r="Z1604" i="1"/>
  <c r="Y1605" i="1"/>
  <c r="Z1605" i="1"/>
  <c r="Y1606" i="1"/>
  <c r="Z1606" i="1"/>
  <c r="Y1607" i="1"/>
  <c r="Z1607" i="1"/>
  <c r="Y1608" i="1"/>
  <c r="Z1608" i="1"/>
  <c r="Y1609" i="1"/>
  <c r="Z1609" i="1"/>
  <c r="Y1610" i="1"/>
  <c r="Z1610" i="1"/>
  <c r="Y1611" i="1"/>
  <c r="Z1611" i="1"/>
  <c r="Y1612" i="1"/>
  <c r="Z1612" i="1"/>
  <c r="Y1613" i="1"/>
  <c r="Z1613" i="1"/>
  <c r="Y1614" i="1"/>
  <c r="Z1614" i="1"/>
  <c r="Y1615" i="1"/>
  <c r="Z1615" i="1"/>
  <c r="Y1616" i="1"/>
  <c r="Z1616" i="1"/>
  <c r="Y1617" i="1"/>
  <c r="Z1617" i="1"/>
  <c r="Y1618" i="1"/>
  <c r="Z1618" i="1"/>
  <c r="Y1619" i="1"/>
  <c r="Z1619" i="1"/>
  <c r="Y1620" i="1"/>
  <c r="Z1620" i="1"/>
  <c r="Y1621" i="1"/>
  <c r="Z1621" i="1"/>
  <c r="Y1622" i="1"/>
  <c r="Z1622" i="1"/>
  <c r="Y1623" i="1"/>
  <c r="Z1623" i="1"/>
  <c r="Y1624" i="1"/>
  <c r="Z1624" i="1"/>
  <c r="Y1625" i="1"/>
  <c r="Z1625" i="1"/>
  <c r="Y1626" i="1"/>
  <c r="Z1626" i="1"/>
  <c r="Y1627" i="1"/>
  <c r="Z1627" i="1"/>
  <c r="Y1628" i="1"/>
  <c r="Z1628" i="1"/>
  <c r="Y1629" i="1"/>
  <c r="Z1629" i="1"/>
  <c r="Y1630" i="1"/>
  <c r="Z1630" i="1"/>
  <c r="Y1631" i="1"/>
  <c r="Z1631" i="1"/>
  <c r="Y1632" i="1"/>
  <c r="Z1632" i="1"/>
  <c r="Y1633" i="1"/>
  <c r="Z1633" i="1"/>
  <c r="Y1634" i="1"/>
  <c r="Z1634" i="1"/>
  <c r="Y1635" i="1"/>
  <c r="Z1635" i="1"/>
  <c r="Y1636" i="1"/>
  <c r="Z1636" i="1"/>
  <c r="Y1637" i="1"/>
  <c r="Z1637" i="1"/>
  <c r="Y1638" i="1"/>
  <c r="Z1638" i="1"/>
  <c r="Y1639" i="1"/>
  <c r="Z1639" i="1"/>
  <c r="Y1640" i="1"/>
  <c r="Z1640" i="1"/>
  <c r="Y1641" i="1"/>
  <c r="Z1641" i="1"/>
  <c r="Y1642" i="1"/>
  <c r="Z1642" i="1"/>
  <c r="Y1643" i="1"/>
  <c r="Z1643" i="1"/>
  <c r="Y1644" i="1"/>
  <c r="Z1644" i="1"/>
  <c r="Y1645" i="1"/>
  <c r="Z1645" i="1"/>
  <c r="Y1646" i="1"/>
  <c r="Z1646" i="1"/>
  <c r="Y1647" i="1"/>
  <c r="Z1647" i="1"/>
  <c r="Y1648" i="1"/>
  <c r="Z1648" i="1"/>
  <c r="Y1649" i="1"/>
  <c r="Z1649" i="1"/>
  <c r="Y1650" i="1"/>
  <c r="Z1650" i="1"/>
  <c r="Y1651" i="1"/>
  <c r="Z1651" i="1"/>
  <c r="Y1652" i="1"/>
  <c r="Z1652" i="1"/>
  <c r="X1653" i="1"/>
  <c r="Y1653" i="1"/>
  <c r="Z1653" i="1"/>
  <c r="Y1654" i="1"/>
  <c r="Z1654" i="1"/>
  <c r="Y1655" i="1"/>
  <c r="Z1655" i="1"/>
  <c r="Y1656" i="1"/>
  <c r="Z1656" i="1"/>
  <c r="Y1657" i="1"/>
  <c r="Z1657" i="1"/>
  <c r="Y1658" i="1"/>
  <c r="Z1658" i="1"/>
  <c r="Y1659" i="1"/>
  <c r="Z1659" i="1"/>
  <c r="Y1660" i="1"/>
  <c r="Z1660" i="1"/>
  <c r="Y1542" i="1"/>
  <c r="Z1542" i="1"/>
  <c r="Y1543" i="1"/>
  <c r="Z1543" i="1"/>
  <c r="Y1544" i="1"/>
  <c r="Z1544" i="1"/>
  <c r="Y1545" i="1"/>
  <c r="Z1545" i="1"/>
  <c r="Y1546" i="1"/>
  <c r="Z1546" i="1"/>
  <c r="Y1547" i="1"/>
  <c r="Z1547" i="1"/>
  <c r="Y1548" i="1"/>
  <c r="Z1548" i="1"/>
  <c r="Y1549" i="1"/>
  <c r="Z1549" i="1"/>
  <c r="Y1550" i="1"/>
  <c r="Z1550" i="1"/>
  <c r="Y1551" i="1"/>
  <c r="Z1551" i="1"/>
  <c r="Y1511" i="1"/>
  <c r="Z1511" i="1"/>
  <c r="Y1512" i="1"/>
  <c r="Z1512" i="1"/>
  <c r="Y1513" i="1"/>
  <c r="Z1513" i="1"/>
  <c r="Y1514" i="1"/>
  <c r="Z1514" i="1"/>
  <c r="Y1515" i="1"/>
  <c r="Z1515" i="1"/>
  <c r="Y1516" i="1"/>
  <c r="Z1516" i="1"/>
  <c r="Y1517" i="1"/>
  <c r="Z1517" i="1"/>
  <c r="Y1518" i="1"/>
  <c r="Z1518" i="1"/>
  <c r="Y1519" i="1"/>
  <c r="Z1519" i="1"/>
  <c r="Y1520" i="1"/>
  <c r="Z1520" i="1"/>
  <c r="Y1521" i="1"/>
  <c r="Z1521" i="1"/>
  <c r="Y1522" i="1"/>
  <c r="Z1522" i="1"/>
  <c r="Y1523" i="1"/>
  <c r="Z1523" i="1"/>
  <c r="Y1524" i="1"/>
  <c r="Z1524" i="1"/>
  <c r="Y1525" i="1"/>
  <c r="Z1525" i="1"/>
  <c r="Y1526" i="1"/>
  <c r="Z1526" i="1"/>
  <c r="Y1527" i="1"/>
  <c r="Z1527" i="1"/>
  <c r="Y1528" i="1"/>
  <c r="Z1528" i="1"/>
  <c r="Y1529" i="1"/>
  <c r="Z1529" i="1"/>
  <c r="Y1530" i="1"/>
  <c r="Z1530" i="1"/>
  <c r="Y1531" i="1"/>
  <c r="Z1531" i="1"/>
  <c r="Y1532" i="1"/>
  <c r="Z1532" i="1"/>
  <c r="Y1533" i="1"/>
  <c r="Z1533" i="1"/>
  <c r="Y1534" i="1"/>
  <c r="Z1534" i="1"/>
  <c r="Y1535" i="1"/>
  <c r="Z1535" i="1"/>
  <c r="Y1536" i="1"/>
  <c r="Z1536" i="1"/>
  <c r="Y1537" i="1"/>
  <c r="Z1537" i="1"/>
  <c r="Y1538" i="1"/>
  <c r="Z1538" i="1"/>
  <c r="Y1539" i="1"/>
  <c r="Z1539" i="1"/>
  <c r="Y1540" i="1"/>
  <c r="Z1540" i="1"/>
  <c r="Y1541" i="1"/>
  <c r="Z1541" i="1"/>
  <c r="Y8" i="1"/>
  <c r="Z8" i="1"/>
  <c r="Y9" i="1"/>
  <c r="Z9" i="1"/>
  <c r="Y10" i="1"/>
  <c r="Z10" i="1"/>
  <c r="Y11" i="1"/>
  <c r="Z11"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Y23" i="1"/>
  <c r="Z23" i="1"/>
  <c r="Y24" i="1"/>
  <c r="Z24" i="1"/>
  <c r="Y25" i="1"/>
  <c r="Z25" i="1"/>
  <c r="Y26" i="1"/>
  <c r="Z26" i="1"/>
  <c r="Y27" i="1"/>
  <c r="Z27" i="1"/>
  <c r="X28" i="1"/>
  <c r="Y28" i="1"/>
  <c r="Z28" i="1"/>
  <c r="X29" i="1"/>
  <c r="Y29" i="1"/>
  <c r="Z29" i="1"/>
  <c r="Y30" i="1"/>
  <c r="Z30" i="1"/>
  <c r="Y31" i="1"/>
  <c r="Z31" i="1"/>
  <c r="Y32" i="1"/>
  <c r="Z32" i="1"/>
  <c r="X33" i="1"/>
  <c r="Y33" i="1"/>
  <c r="Z33" i="1"/>
  <c r="X34" i="1"/>
  <c r="Y34" i="1"/>
  <c r="Z34" i="1"/>
  <c r="X35" i="1"/>
  <c r="Y35" i="1"/>
  <c r="Z35" i="1"/>
  <c r="X36" i="1"/>
  <c r="Y36" i="1"/>
  <c r="Z36" i="1"/>
  <c r="X37" i="1"/>
  <c r="Y37" i="1"/>
  <c r="Z37" i="1"/>
  <c r="X38" i="1"/>
  <c r="Y38" i="1"/>
  <c r="Z38" i="1"/>
  <c r="X39" i="1"/>
  <c r="Y39" i="1"/>
  <c r="Z39" i="1"/>
  <c r="X40" i="1"/>
  <c r="Y40" i="1"/>
  <c r="Z40" i="1"/>
  <c r="X41" i="1"/>
  <c r="Y41" i="1"/>
  <c r="Z41" i="1"/>
  <c r="X42" i="1"/>
  <c r="Y42" i="1"/>
  <c r="Z42" i="1"/>
  <c r="X43" i="1"/>
  <c r="Y43" i="1"/>
  <c r="Z43" i="1"/>
  <c r="X44" i="1"/>
  <c r="Y44" i="1"/>
  <c r="Z44" i="1"/>
  <c r="X45" i="1"/>
  <c r="Y45" i="1"/>
  <c r="Z45" i="1"/>
  <c r="X46" i="1"/>
  <c r="Y46" i="1"/>
  <c r="Z46" i="1"/>
  <c r="X47" i="1"/>
  <c r="Y47" i="1"/>
  <c r="Z47" i="1"/>
  <c r="X48" i="1"/>
  <c r="Y48" i="1"/>
  <c r="Z48" i="1"/>
  <c r="X49" i="1"/>
  <c r="Y49" i="1"/>
  <c r="Z49" i="1"/>
  <c r="Y50" i="1"/>
  <c r="Z50" i="1"/>
  <c r="X51" i="1"/>
  <c r="Y51" i="1"/>
  <c r="Z51" i="1"/>
  <c r="Y52" i="1"/>
  <c r="Z52" i="1"/>
  <c r="X53" i="1"/>
  <c r="Y53" i="1"/>
  <c r="Z53" i="1"/>
  <c r="Y54" i="1"/>
  <c r="Z54" i="1"/>
  <c r="X55"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X84" i="1"/>
  <c r="Y84" i="1"/>
  <c r="Z84" i="1"/>
  <c r="Y85" i="1"/>
  <c r="Z85" i="1"/>
  <c r="Y86" i="1"/>
  <c r="Z86" i="1"/>
  <c r="Y87" i="1"/>
  <c r="Z87" i="1"/>
  <c r="Y88" i="1"/>
  <c r="Z88" i="1"/>
  <c r="Y89" i="1"/>
  <c r="Z89" i="1"/>
  <c r="Y90" i="1"/>
  <c r="Z90" i="1"/>
  <c r="Y91" i="1"/>
  <c r="Z91" i="1"/>
  <c r="Y92" i="1"/>
  <c r="Z92" i="1"/>
  <c r="X93" i="1"/>
  <c r="Y93" i="1"/>
  <c r="Z93" i="1"/>
  <c r="Y94" i="1"/>
  <c r="Z94" i="1"/>
  <c r="X95" i="1"/>
  <c r="Y95" i="1"/>
  <c r="Z95" i="1"/>
  <c r="X96" i="1"/>
  <c r="Y96" i="1"/>
  <c r="Z96" i="1"/>
  <c r="X97" i="1"/>
  <c r="Y97" i="1"/>
  <c r="Z97" i="1"/>
  <c r="X98" i="1"/>
  <c r="Y98" i="1"/>
  <c r="Z98" i="1"/>
  <c r="X99" i="1"/>
  <c r="Y99" i="1"/>
  <c r="Z99" i="1"/>
  <c r="X100" i="1"/>
  <c r="Y100" i="1"/>
  <c r="Z100" i="1"/>
  <c r="X101" i="1"/>
  <c r="Y101" i="1"/>
  <c r="Z101" i="1"/>
  <c r="X102" i="1"/>
  <c r="Y102" i="1"/>
  <c r="Z102" i="1"/>
  <c r="X103" i="1"/>
  <c r="Y103" i="1"/>
  <c r="Z103" i="1"/>
  <c r="X104" i="1"/>
  <c r="Y104" i="1"/>
  <c r="Z104" i="1"/>
  <c r="X105" i="1"/>
  <c r="Y105" i="1"/>
  <c r="Z105" i="1"/>
  <c r="X106" i="1"/>
  <c r="Y106" i="1"/>
  <c r="Z106" i="1"/>
  <c r="X107" i="1"/>
  <c r="Y107" i="1"/>
  <c r="Z107" i="1"/>
  <c r="X108" i="1"/>
  <c r="Y108" i="1"/>
  <c r="Z108" i="1"/>
  <c r="X109" i="1"/>
  <c r="Y109" i="1"/>
  <c r="Z109" i="1"/>
  <c r="X110" i="1"/>
  <c r="Y110" i="1"/>
  <c r="Z110" i="1"/>
  <c r="Y111" i="1"/>
  <c r="Z111" i="1"/>
  <c r="Y112" i="1"/>
  <c r="Z112" i="1"/>
  <c r="Y113" i="1"/>
  <c r="Z113" i="1"/>
  <c r="Y114" i="1"/>
  <c r="Z114" i="1"/>
  <c r="Y115" i="1"/>
  <c r="Z115" i="1"/>
  <c r="Y116" i="1"/>
  <c r="Z116" i="1"/>
  <c r="Y117" i="1"/>
  <c r="Z117" i="1"/>
  <c r="Y118" i="1"/>
  <c r="Z118" i="1"/>
  <c r="X119" i="1"/>
  <c r="Y119" i="1"/>
  <c r="Z119" i="1"/>
  <c r="X120" i="1"/>
  <c r="Y120" i="1"/>
  <c r="Z120" i="1"/>
  <c r="Y121" i="1"/>
  <c r="Z121" i="1"/>
  <c r="Y122" i="1"/>
  <c r="Z122" i="1"/>
  <c r="Y123" i="1"/>
  <c r="Z123" i="1"/>
  <c r="Y124" i="1"/>
  <c r="Z124" i="1"/>
  <c r="X125" i="1"/>
  <c r="Y125" i="1"/>
  <c r="Z125" i="1"/>
  <c r="X126" i="1"/>
  <c r="Y126" i="1"/>
  <c r="Z126" i="1"/>
  <c r="Y127" i="1"/>
  <c r="Z127" i="1"/>
  <c r="Y128" i="1"/>
  <c r="Z128" i="1"/>
  <c r="Y129" i="1"/>
  <c r="Z129" i="1"/>
  <c r="X130" i="1"/>
  <c r="Y130" i="1"/>
  <c r="Z130" i="1"/>
  <c r="X131" i="1"/>
  <c r="Y131" i="1"/>
  <c r="Z131" i="1"/>
  <c r="X132" i="1"/>
  <c r="Y132" i="1"/>
  <c r="Z132" i="1"/>
  <c r="X133" i="1"/>
  <c r="Y133" i="1"/>
  <c r="Z133" i="1"/>
  <c r="X134" i="1"/>
  <c r="Y134" i="1"/>
  <c r="Z134" i="1"/>
  <c r="X135" i="1"/>
  <c r="Y135" i="1"/>
  <c r="Z135" i="1"/>
  <c r="X136" i="1"/>
  <c r="Y136" i="1"/>
  <c r="Z136" i="1"/>
  <c r="X137" i="1"/>
  <c r="Y137" i="1"/>
  <c r="Z137" i="1"/>
  <c r="X138" i="1"/>
  <c r="Y138" i="1"/>
  <c r="Z138" i="1"/>
  <c r="X139" i="1"/>
  <c r="Y139" i="1"/>
  <c r="Z139" i="1"/>
  <c r="X140" i="1"/>
  <c r="Y140" i="1"/>
  <c r="Z140" i="1"/>
  <c r="X141" i="1"/>
  <c r="Y141" i="1"/>
  <c r="Z141" i="1"/>
  <c r="X142" i="1"/>
  <c r="Y142" i="1"/>
  <c r="Z142" i="1"/>
  <c r="X143" i="1"/>
  <c r="Y143" i="1"/>
  <c r="Z143" i="1"/>
  <c r="X144" i="1"/>
  <c r="Y144" i="1"/>
  <c r="Z144" i="1"/>
  <c r="X145" i="1"/>
  <c r="Y145" i="1"/>
  <c r="Z145" i="1"/>
  <c r="X146" i="1"/>
  <c r="Y146" i="1"/>
  <c r="Z146" i="1"/>
  <c r="X147" i="1"/>
  <c r="Y147" i="1"/>
  <c r="Z147" i="1"/>
  <c r="X148" i="1"/>
  <c r="Y148" i="1"/>
  <c r="Z148" i="1"/>
  <c r="X149" i="1"/>
  <c r="Y149" i="1"/>
  <c r="Z149" i="1"/>
  <c r="X150"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X167" i="1"/>
  <c r="Y167" i="1"/>
  <c r="Z167" i="1"/>
  <c r="X168" i="1"/>
  <c r="Y168" i="1"/>
  <c r="Z168" i="1"/>
  <c r="X169" i="1"/>
  <c r="Y169" i="1"/>
  <c r="Z169" i="1"/>
  <c r="X170" i="1"/>
  <c r="Y170" i="1"/>
  <c r="Z170" i="1"/>
  <c r="X171" i="1"/>
  <c r="Y171" i="1"/>
  <c r="Z171" i="1"/>
  <c r="X172" i="1"/>
  <c r="Y172" i="1"/>
  <c r="Z172" i="1"/>
  <c r="X173" i="1"/>
  <c r="Y173" i="1"/>
  <c r="Z173" i="1"/>
  <c r="Y174" i="1"/>
  <c r="Z174" i="1"/>
  <c r="X175" i="1"/>
  <c r="Y175" i="1"/>
  <c r="Z175" i="1"/>
  <c r="X176" i="1"/>
  <c r="Y176" i="1"/>
  <c r="Z176" i="1"/>
  <c r="X177" i="1"/>
  <c r="Y177" i="1"/>
  <c r="Z177" i="1"/>
  <c r="X178" i="1"/>
  <c r="Y178" i="1"/>
  <c r="Z178" i="1"/>
  <c r="Y179" i="1"/>
  <c r="Z179" i="1"/>
  <c r="Y180" i="1"/>
  <c r="Z180" i="1"/>
  <c r="Y181" i="1"/>
  <c r="Z181" i="1"/>
  <c r="X182" i="1"/>
  <c r="Y182" i="1"/>
  <c r="Z182" i="1"/>
  <c r="Y183" i="1"/>
  <c r="Z183" i="1"/>
  <c r="X184" i="1"/>
  <c r="Y184" i="1"/>
  <c r="Z184" i="1"/>
  <c r="Y185" i="1"/>
  <c r="Z185" i="1"/>
  <c r="Y186" i="1"/>
  <c r="Z186" i="1"/>
  <c r="X187" i="1"/>
  <c r="Y187" i="1"/>
  <c r="Z187" i="1"/>
  <c r="Y188" i="1"/>
  <c r="Z188" i="1"/>
  <c r="X189" i="1"/>
  <c r="Y189" i="1"/>
  <c r="Z189" i="1"/>
  <c r="X190" i="1"/>
  <c r="Y190" i="1"/>
  <c r="Z190" i="1"/>
  <c r="X191" i="1"/>
  <c r="Y191" i="1"/>
  <c r="Z191" i="1"/>
  <c r="X192" i="1"/>
  <c r="Y192" i="1"/>
  <c r="Z192" i="1"/>
  <c r="X193" i="1"/>
  <c r="Y193" i="1"/>
  <c r="Z193" i="1"/>
  <c r="X194" i="1"/>
  <c r="Y194" i="1"/>
  <c r="Z194" i="1"/>
  <c r="X195" i="1"/>
  <c r="Y195" i="1"/>
  <c r="Z195" i="1"/>
  <c r="X196" i="1"/>
  <c r="Y196" i="1"/>
  <c r="Z196" i="1"/>
  <c r="X197" i="1"/>
  <c r="Y197" i="1"/>
  <c r="Z197" i="1"/>
  <c r="X198" i="1"/>
  <c r="Y198" i="1"/>
  <c r="Z198" i="1"/>
  <c r="X199" i="1"/>
  <c r="Y199" i="1"/>
  <c r="Z199" i="1"/>
  <c r="X200" i="1"/>
  <c r="Y200" i="1"/>
  <c r="Z200" i="1"/>
  <c r="X201" i="1"/>
  <c r="Y201" i="1"/>
  <c r="Z201" i="1"/>
  <c r="X202" i="1"/>
  <c r="Y202" i="1"/>
  <c r="Z202" i="1"/>
  <c r="X203" i="1"/>
  <c r="Y203" i="1"/>
  <c r="Z203" i="1"/>
  <c r="X204" i="1"/>
  <c r="Y204" i="1"/>
  <c r="Z204" i="1"/>
  <c r="X205" i="1"/>
  <c r="Y205" i="1"/>
  <c r="Z205" i="1"/>
  <c r="X206" i="1"/>
  <c r="Y206" i="1"/>
  <c r="Z206" i="1"/>
  <c r="X207" i="1"/>
  <c r="Y207" i="1"/>
  <c r="Z207" i="1"/>
  <c r="X208" i="1"/>
  <c r="Y208" i="1"/>
  <c r="Z208" i="1"/>
  <c r="X209" i="1"/>
  <c r="Y209" i="1"/>
  <c r="Z209" i="1"/>
  <c r="X210" i="1"/>
  <c r="Y210" i="1"/>
  <c r="Z210" i="1"/>
  <c r="X211" i="1"/>
  <c r="Y211" i="1"/>
  <c r="Z211" i="1"/>
  <c r="X212" i="1"/>
  <c r="Y212" i="1"/>
  <c r="Z212" i="1"/>
  <c r="X213" i="1"/>
  <c r="Y213" i="1"/>
  <c r="Z213" i="1"/>
  <c r="X214" i="1"/>
  <c r="Y214" i="1"/>
  <c r="Z214" i="1"/>
  <c r="X215" i="1"/>
  <c r="Y215" i="1"/>
  <c r="Z215" i="1"/>
  <c r="X216" i="1"/>
  <c r="Y216" i="1"/>
  <c r="Z216" i="1"/>
  <c r="X217" i="1"/>
  <c r="Y217" i="1"/>
  <c r="Z217" i="1"/>
  <c r="X218" i="1"/>
  <c r="Y218" i="1"/>
  <c r="Z218" i="1"/>
  <c r="X219" i="1"/>
  <c r="Y219" i="1"/>
  <c r="Z219" i="1"/>
  <c r="X220" i="1"/>
  <c r="Y220" i="1"/>
  <c r="Z220" i="1"/>
  <c r="X221" i="1"/>
  <c r="Y221" i="1"/>
  <c r="Z221" i="1"/>
  <c r="X222" i="1"/>
  <c r="Y222" i="1"/>
  <c r="Z222" i="1"/>
  <c r="X223" i="1"/>
  <c r="Y223" i="1"/>
  <c r="Z223" i="1"/>
  <c r="X224" i="1"/>
  <c r="Y224" i="1"/>
  <c r="Z224" i="1"/>
  <c r="X225" i="1"/>
  <c r="Y225" i="1"/>
  <c r="Z225" i="1"/>
  <c r="X226" i="1"/>
  <c r="Y226" i="1"/>
  <c r="Z226" i="1"/>
  <c r="X227" i="1"/>
  <c r="Y227" i="1"/>
  <c r="Z227" i="1"/>
  <c r="X228" i="1"/>
  <c r="Y228" i="1"/>
  <c r="Z228" i="1"/>
  <c r="X229" i="1"/>
  <c r="Y229" i="1"/>
  <c r="Z229" i="1"/>
  <c r="X230" i="1"/>
  <c r="Y230" i="1"/>
  <c r="Z230" i="1"/>
  <c r="Y231" i="1"/>
  <c r="Z231" i="1"/>
  <c r="X232" i="1"/>
  <c r="Y232" i="1"/>
  <c r="Z232" i="1"/>
  <c r="X233" i="1"/>
  <c r="Y233" i="1"/>
  <c r="Z233" i="1"/>
  <c r="X234" i="1"/>
  <c r="Y234" i="1"/>
  <c r="Z234" i="1"/>
  <c r="X235" i="1"/>
  <c r="Y235" i="1"/>
  <c r="Z235" i="1"/>
  <c r="Y236" i="1"/>
  <c r="Z236" i="1"/>
  <c r="X237" i="1"/>
  <c r="Y237" i="1"/>
  <c r="Z237" i="1"/>
  <c r="Y238" i="1"/>
  <c r="Z238" i="1"/>
  <c r="Y239" i="1"/>
  <c r="Z239" i="1"/>
  <c r="X240" i="1"/>
  <c r="Y240" i="1"/>
  <c r="Z240" i="1"/>
  <c r="X241" i="1"/>
  <c r="Y241" i="1"/>
  <c r="Z241" i="1"/>
  <c r="X242" i="1"/>
  <c r="Y242" i="1"/>
  <c r="Z242" i="1"/>
  <c r="Y243" i="1"/>
  <c r="Z243" i="1"/>
  <c r="Y244" i="1"/>
  <c r="Z244" i="1"/>
  <c r="X245"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X287" i="1"/>
  <c r="Y287" i="1"/>
  <c r="Z287" i="1"/>
  <c r="X288"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X318" i="1"/>
  <c r="Y318" i="1"/>
  <c r="Z318" i="1"/>
  <c r="Y319" i="1"/>
  <c r="Z319" i="1"/>
  <c r="Y320" i="1"/>
  <c r="Z320" i="1"/>
  <c r="X321" i="1"/>
  <c r="Y321" i="1"/>
  <c r="Z321" i="1"/>
  <c r="X322" i="1"/>
  <c r="Y322" i="1"/>
  <c r="Z322" i="1"/>
  <c r="X323" i="1"/>
  <c r="Y323" i="1"/>
  <c r="Z323" i="1"/>
  <c r="Y324" i="1"/>
  <c r="Z324" i="1"/>
  <c r="Y325" i="1"/>
  <c r="Z325" i="1"/>
  <c r="Y326" i="1"/>
  <c r="Z326" i="1"/>
  <c r="Y327" i="1"/>
  <c r="Z327" i="1"/>
  <c r="X328" i="1"/>
  <c r="Y328" i="1"/>
  <c r="Z328" i="1"/>
  <c r="Y329" i="1"/>
  <c r="Z329" i="1"/>
  <c r="Y330" i="1"/>
  <c r="Z330" i="1"/>
  <c r="Y331" i="1"/>
  <c r="Z331" i="1"/>
  <c r="Y332" i="1"/>
  <c r="Z332" i="1"/>
  <c r="X333" i="1"/>
  <c r="Y333" i="1"/>
  <c r="Z333" i="1"/>
  <c r="X334" i="1"/>
  <c r="Y334" i="1"/>
  <c r="Z334" i="1"/>
  <c r="X335" i="1"/>
  <c r="Y335" i="1"/>
  <c r="Z335" i="1"/>
  <c r="X336" i="1"/>
  <c r="Y336" i="1"/>
  <c r="Z336" i="1"/>
  <c r="X337" i="1"/>
  <c r="Y337" i="1"/>
  <c r="Z337" i="1"/>
  <c r="Y338" i="1"/>
  <c r="Z338" i="1"/>
  <c r="Y339" i="1"/>
  <c r="Z339" i="1"/>
  <c r="Y340" i="1"/>
  <c r="Z340" i="1"/>
  <c r="Y341" i="1"/>
  <c r="Z341" i="1"/>
  <c r="Y342" i="1"/>
  <c r="Z342" i="1"/>
  <c r="Y343" i="1"/>
  <c r="Z343" i="1"/>
  <c r="X344" i="1"/>
  <c r="Y344" i="1"/>
  <c r="Z344" i="1"/>
  <c r="X345" i="1"/>
  <c r="Y345" i="1"/>
  <c r="Z345" i="1"/>
  <c r="Y346" i="1"/>
  <c r="Z346" i="1"/>
  <c r="Y347" i="1"/>
  <c r="Z347" i="1"/>
  <c r="X348" i="1"/>
  <c r="Y348" i="1"/>
  <c r="Z348" i="1"/>
  <c r="X349" i="1"/>
  <c r="Y349" i="1"/>
  <c r="Z349" i="1"/>
  <c r="Y350" i="1"/>
  <c r="Z350" i="1"/>
  <c r="X351"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X371"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X391" i="1"/>
  <c r="Y391" i="1"/>
  <c r="Z391" i="1"/>
  <c r="X392" i="1"/>
  <c r="Y392" i="1"/>
  <c r="Z392" i="1"/>
  <c r="X393" i="1"/>
  <c r="Y393" i="1"/>
  <c r="Z393" i="1"/>
  <c r="X394" i="1"/>
  <c r="Y394" i="1"/>
  <c r="Z394" i="1"/>
  <c r="X395" i="1"/>
  <c r="Y395" i="1"/>
  <c r="Z395" i="1"/>
  <c r="X396" i="1"/>
  <c r="Y396" i="1"/>
  <c r="Z396" i="1"/>
  <c r="X397" i="1"/>
  <c r="Y397" i="1"/>
  <c r="Z397" i="1"/>
  <c r="X398" i="1"/>
  <c r="Y398" i="1"/>
  <c r="Z398" i="1"/>
  <c r="Y399" i="1"/>
  <c r="Z399" i="1"/>
  <c r="X400" i="1"/>
  <c r="Y400" i="1"/>
  <c r="Z400" i="1"/>
  <c r="X401" i="1"/>
  <c r="Y401" i="1"/>
  <c r="Z401" i="1"/>
  <c r="Y402" i="1"/>
  <c r="Z402" i="1"/>
  <c r="Y403" i="1"/>
  <c r="Z403" i="1"/>
  <c r="X404" i="1"/>
  <c r="Y404" i="1"/>
  <c r="Z404" i="1"/>
  <c r="X405" i="1"/>
  <c r="Y405" i="1"/>
  <c r="Z405" i="1"/>
  <c r="Y406" i="1"/>
  <c r="Z406" i="1"/>
  <c r="X407" i="1"/>
  <c r="Y407" i="1"/>
  <c r="Z407" i="1"/>
  <c r="X408" i="1"/>
  <c r="Y408" i="1"/>
  <c r="Z408" i="1"/>
  <c r="X409"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X429" i="1"/>
  <c r="Y429" i="1"/>
  <c r="Z429" i="1"/>
  <c r="X430" i="1"/>
  <c r="Y430" i="1"/>
  <c r="Z430" i="1"/>
  <c r="Y431" i="1"/>
  <c r="Z431" i="1"/>
  <c r="Y432" i="1"/>
  <c r="Z432" i="1"/>
  <c r="X433" i="1"/>
  <c r="Y433" i="1"/>
  <c r="Z433" i="1"/>
  <c r="X434" i="1"/>
  <c r="Y434" i="1"/>
  <c r="Z434" i="1"/>
  <c r="Y435" i="1"/>
  <c r="Z435" i="1"/>
  <c r="Y436" i="1"/>
  <c r="Z436" i="1"/>
  <c r="X437" i="1"/>
  <c r="Y437" i="1"/>
  <c r="Z437" i="1"/>
  <c r="X438" i="1"/>
  <c r="Y438" i="1"/>
  <c r="Z438" i="1"/>
  <c r="Y439" i="1"/>
  <c r="Z439" i="1"/>
  <c r="X440" i="1"/>
  <c r="Y440" i="1"/>
  <c r="Z440" i="1"/>
  <c r="Y441" i="1"/>
  <c r="Z441" i="1"/>
  <c r="X442" i="1"/>
  <c r="Y442" i="1"/>
  <c r="Z442" i="1"/>
  <c r="Y443" i="1"/>
  <c r="Z443" i="1"/>
  <c r="X444" i="1"/>
  <c r="Y444" i="1"/>
  <c r="Z444" i="1"/>
  <c r="Y445" i="1"/>
  <c r="Z445" i="1"/>
  <c r="X446" i="1"/>
  <c r="Y446" i="1"/>
  <c r="Z446" i="1"/>
  <c r="Y447" i="1"/>
  <c r="Z447" i="1"/>
  <c r="X448" i="1"/>
  <c r="Y448" i="1"/>
  <c r="Z448" i="1"/>
  <c r="X449" i="1"/>
  <c r="Y449" i="1"/>
  <c r="Z449" i="1"/>
  <c r="X450" i="1"/>
  <c r="Y450" i="1"/>
  <c r="Z450" i="1"/>
  <c r="X451" i="1"/>
  <c r="Y451" i="1"/>
  <c r="Z451" i="1"/>
  <c r="X452" i="1"/>
  <c r="Y452" i="1"/>
  <c r="Z452" i="1"/>
  <c r="X453" i="1"/>
  <c r="Y453" i="1"/>
  <c r="Z453" i="1"/>
  <c r="X454" i="1"/>
  <c r="Y454" i="1"/>
  <c r="Z454" i="1"/>
  <c r="X455" i="1"/>
  <c r="Y455" i="1"/>
  <c r="Z455" i="1"/>
  <c r="X456" i="1"/>
  <c r="Y456" i="1"/>
  <c r="Z456" i="1"/>
  <c r="X457" i="1"/>
  <c r="Y457" i="1"/>
  <c r="Z457" i="1"/>
  <c r="Y458" i="1"/>
  <c r="Z458" i="1"/>
  <c r="Y459" i="1"/>
  <c r="Z459" i="1"/>
  <c r="X460" i="1"/>
  <c r="Z460" i="1"/>
  <c r="X461" i="1"/>
  <c r="Y461" i="1"/>
  <c r="Z461" i="1"/>
  <c r="Y462" i="1"/>
  <c r="Z462" i="1"/>
  <c r="X463" i="1"/>
  <c r="Y463" i="1"/>
  <c r="Z463" i="1"/>
  <c r="X464" i="1"/>
  <c r="Y464" i="1"/>
  <c r="Z464" i="1"/>
  <c r="X465" i="1"/>
  <c r="Y465" i="1"/>
  <c r="Z465" i="1"/>
  <c r="X466" i="1"/>
  <c r="Y466" i="1"/>
  <c r="Z466" i="1"/>
  <c r="X467" i="1"/>
  <c r="Y467" i="1"/>
  <c r="Z467" i="1"/>
  <c r="X468" i="1"/>
  <c r="Y468" i="1"/>
  <c r="Z468" i="1"/>
  <c r="X469" i="1"/>
  <c r="Y469" i="1"/>
  <c r="Z469" i="1"/>
  <c r="X470" i="1"/>
  <c r="Y470" i="1"/>
  <c r="Z470" i="1"/>
  <c r="X471" i="1"/>
  <c r="Y471" i="1"/>
  <c r="Z471" i="1"/>
  <c r="X472" i="1"/>
  <c r="Y472" i="1"/>
  <c r="Z472" i="1"/>
  <c r="X473" i="1"/>
  <c r="Y473" i="1"/>
  <c r="Z473" i="1"/>
  <c r="X474" i="1"/>
  <c r="Y474" i="1"/>
  <c r="Z474" i="1"/>
  <c r="Y475" i="1"/>
  <c r="Z475" i="1"/>
  <c r="X476" i="1"/>
  <c r="Y476" i="1"/>
  <c r="Z476" i="1"/>
  <c r="X477" i="1"/>
  <c r="Y477" i="1"/>
  <c r="Z477" i="1"/>
  <c r="X478" i="1"/>
  <c r="Y478" i="1"/>
  <c r="Z478" i="1"/>
  <c r="Y479" i="1"/>
  <c r="Z479" i="1"/>
  <c r="Y480" i="1"/>
  <c r="Z480" i="1"/>
  <c r="X481" i="1"/>
  <c r="Y481" i="1"/>
  <c r="Z481" i="1"/>
  <c r="X482" i="1"/>
  <c r="Y482" i="1"/>
  <c r="Z482" i="1"/>
  <c r="X483" i="1"/>
  <c r="Y483" i="1"/>
  <c r="Z483" i="1"/>
  <c r="Y484" i="1"/>
  <c r="Z484" i="1"/>
  <c r="X485" i="1"/>
  <c r="Y485" i="1"/>
  <c r="Z485" i="1"/>
  <c r="X486" i="1"/>
  <c r="Y486" i="1"/>
  <c r="Z486" i="1"/>
  <c r="X487" i="1"/>
  <c r="Y487" i="1"/>
  <c r="Z487" i="1"/>
  <c r="Y488" i="1"/>
  <c r="Z488" i="1"/>
  <c r="Y489" i="1"/>
  <c r="Z489" i="1"/>
  <c r="Y490" i="1"/>
  <c r="Z490" i="1"/>
  <c r="X491" i="1"/>
  <c r="Y491" i="1"/>
  <c r="Z491" i="1"/>
  <c r="X492" i="1"/>
  <c r="Y492" i="1"/>
  <c r="Z492" i="1"/>
  <c r="Y493" i="1"/>
  <c r="Z493" i="1"/>
  <c r="Y494" i="1"/>
  <c r="Z494" i="1"/>
  <c r="Y495" i="1"/>
  <c r="Z495" i="1"/>
  <c r="Y496" i="1"/>
  <c r="Z496" i="1"/>
  <c r="X497" i="1"/>
  <c r="Y497" i="1"/>
  <c r="Z497" i="1"/>
  <c r="Y498" i="1"/>
  <c r="Z498" i="1"/>
  <c r="Y499" i="1"/>
  <c r="Z499" i="1"/>
  <c r="Y500" i="1"/>
  <c r="Z500" i="1"/>
  <c r="Y501" i="1"/>
  <c r="Z501" i="1"/>
  <c r="Y502" i="1"/>
  <c r="Z502" i="1"/>
  <c r="X503" i="1"/>
  <c r="Y503" i="1"/>
  <c r="Z503" i="1"/>
  <c r="Y504" i="1"/>
  <c r="Z504" i="1"/>
  <c r="Y505" i="1"/>
  <c r="Z505" i="1"/>
  <c r="X506" i="1"/>
  <c r="Y506" i="1"/>
  <c r="Z506" i="1"/>
  <c r="Y507" i="1"/>
  <c r="Z507" i="1"/>
  <c r="Y508" i="1"/>
  <c r="Z508" i="1"/>
  <c r="Y509" i="1"/>
  <c r="Z509" i="1"/>
  <c r="Y510" i="1"/>
  <c r="Z510" i="1"/>
  <c r="Y511" i="1"/>
  <c r="Z511" i="1"/>
  <c r="Y512" i="1"/>
  <c r="Z512" i="1"/>
  <c r="Y513" i="1"/>
  <c r="Z513" i="1"/>
  <c r="Y514" i="1"/>
  <c r="Z514" i="1"/>
  <c r="Y515" i="1"/>
  <c r="Z515" i="1"/>
  <c r="Y516" i="1"/>
  <c r="Z516" i="1"/>
  <c r="Y517" i="1"/>
  <c r="Z517" i="1"/>
  <c r="Y518" i="1"/>
  <c r="Z518" i="1"/>
  <c r="Y519" i="1"/>
  <c r="Z519" i="1"/>
  <c r="Y520" i="1"/>
  <c r="Z520" i="1"/>
  <c r="Y521" i="1"/>
  <c r="Z521" i="1"/>
  <c r="Y522" i="1"/>
  <c r="Z522" i="1"/>
  <c r="Y523" i="1"/>
  <c r="Z523" i="1"/>
  <c r="Y524" i="1"/>
  <c r="Z524" i="1"/>
  <c r="X525" i="1"/>
  <c r="Y525" i="1"/>
  <c r="Z525" i="1"/>
  <c r="X526" i="1"/>
  <c r="Y526" i="1"/>
  <c r="Z526" i="1"/>
  <c r="X527" i="1"/>
  <c r="Y527" i="1"/>
  <c r="Z527" i="1"/>
  <c r="X528" i="1"/>
  <c r="Y528" i="1"/>
  <c r="Z528" i="1"/>
  <c r="X529" i="1"/>
  <c r="Y529" i="1"/>
  <c r="Z529" i="1"/>
  <c r="X530" i="1"/>
  <c r="Y530" i="1"/>
  <c r="Z530" i="1"/>
  <c r="X531" i="1"/>
  <c r="Y531" i="1"/>
  <c r="Z531" i="1"/>
  <c r="X532" i="1"/>
  <c r="Y532" i="1"/>
  <c r="Z532" i="1"/>
  <c r="X533" i="1"/>
  <c r="Y533" i="1"/>
  <c r="Z533" i="1"/>
  <c r="X534" i="1"/>
  <c r="Y534" i="1"/>
  <c r="Z534" i="1"/>
  <c r="X535" i="1"/>
  <c r="Y535" i="1"/>
  <c r="Z535" i="1"/>
  <c r="X536" i="1"/>
  <c r="Y536" i="1"/>
  <c r="Z536" i="1"/>
  <c r="X537" i="1"/>
  <c r="Y537" i="1"/>
  <c r="Z537" i="1"/>
  <c r="X538" i="1"/>
  <c r="Y538" i="1"/>
  <c r="Z538" i="1"/>
  <c r="X539" i="1"/>
  <c r="Y539" i="1"/>
  <c r="Z539" i="1"/>
  <c r="X540" i="1"/>
  <c r="Y540" i="1"/>
  <c r="Z540" i="1"/>
  <c r="X541" i="1"/>
  <c r="Y541" i="1"/>
  <c r="Z541" i="1"/>
  <c r="X542" i="1"/>
  <c r="Y542" i="1"/>
  <c r="Z542" i="1"/>
  <c r="Y543" i="1"/>
  <c r="Z543" i="1"/>
  <c r="Y544" i="1"/>
  <c r="Z544" i="1"/>
  <c r="X545" i="1"/>
  <c r="Y545" i="1"/>
  <c r="Z545" i="1"/>
  <c r="X546" i="1"/>
  <c r="Y546" i="1"/>
  <c r="Z546" i="1"/>
  <c r="X547" i="1"/>
  <c r="Y547" i="1"/>
  <c r="Z547" i="1"/>
  <c r="X548" i="1"/>
  <c r="Y548" i="1"/>
  <c r="Z548" i="1"/>
  <c r="Y549" i="1"/>
  <c r="Z549" i="1"/>
  <c r="Y550" i="1"/>
  <c r="Z550" i="1"/>
  <c r="X551" i="1"/>
  <c r="Y551" i="1"/>
  <c r="Z551" i="1"/>
  <c r="X552" i="1"/>
  <c r="Y552" i="1"/>
  <c r="Z552" i="1"/>
  <c r="X553" i="1"/>
  <c r="Y553" i="1"/>
  <c r="Z553" i="1"/>
  <c r="X554" i="1"/>
  <c r="Y554" i="1"/>
  <c r="Z554" i="1"/>
  <c r="Y555" i="1"/>
  <c r="Z555" i="1"/>
  <c r="Y556" i="1"/>
  <c r="Z556" i="1"/>
  <c r="X557" i="1"/>
  <c r="Y557" i="1"/>
  <c r="Z557" i="1"/>
  <c r="X558" i="1"/>
  <c r="Y558" i="1"/>
  <c r="Z558" i="1"/>
  <c r="X559" i="1"/>
  <c r="Y559" i="1"/>
  <c r="Z559" i="1"/>
  <c r="X560" i="1"/>
  <c r="Y560" i="1"/>
  <c r="Z560" i="1"/>
  <c r="X561" i="1"/>
  <c r="Y561" i="1"/>
  <c r="Z561" i="1"/>
  <c r="X562" i="1"/>
  <c r="Y562" i="1"/>
  <c r="Z562" i="1"/>
  <c r="Y563" i="1"/>
  <c r="Z563" i="1"/>
  <c r="X564" i="1"/>
  <c r="Y564" i="1"/>
  <c r="Z564" i="1"/>
  <c r="Y565" i="1"/>
  <c r="Z565" i="1"/>
  <c r="X566" i="1"/>
  <c r="Y566" i="1"/>
  <c r="Z566" i="1"/>
  <c r="X567" i="1"/>
  <c r="Y567" i="1"/>
  <c r="Z567" i="1"/>
  <c r="X568" i="1"/>
  <c r="Y568" i="1"/>
  <c r="Z568" i="1"/>
  <c r="X569" i="1"/>
  <c r="Y569" i="1"/>
  <c r="Z569" i="1"/>
  <c r="Y570" i="1"/>
  <c r="Z570" i="1"/>
  <c r="Y571" i="1"/>
  <c r="Z571" i="1"/>
  <c r="Y572" i="1"/>
  <c r="Z572" i="1"/>
  <c r="Y573" i="1"/>
  <c r="Z573" i="1"/>
  <c r="Y574" i="1"/>
  <c r="Z574" i="1"/>
  <c r="Y575" i="1"/>
  <c r="Z575" i="1"/>
  <c r="Y576" i="1"/>
  <c r="Z576" i="1"/>
  <c r="Y577" i="1"/>
  <c r="Z577" i="1"/>
  <c r="Y578" i="1"/>
  <c r="Z578" i="1"/>
  <c r="Y579" i="1"/>
  <c r="Z579" i="1"/>
  <c r="Y580" i="1"/>
  <c r="Z580" i="1"/>
  <c r="Y581" i="1"/>
  <c r="Z581" i="1"/>
  <c r="Y582" i="1"/>
  <c r="Z582" i="1"/>
  <c r="Y583" i="1"/>
  <c r="Z583" i="1"/>
  <c r="Y584" i="1"/>
  <c r="Z584" i="1"/>
  <c r="Y585" i="1"/>
  <c r="Z585" i="1"/>
  <c r="X586" i="1"/>
  <c r="Y586" i="1"/>
  <c r="Z586" i="1"/>
  <c r="X587" i="1"/>
  <c r="Y587" i="1"/>
  <c r="Z587" i="1"/>
  <c r="Y588" i="1"/>
  <c r="Z588" i="1"/>
  <c r="Y589" i="1"/>
  <c r="Z589" i="1"/>
  <c r="Y590" i="1"/>
  <c r="Z590" i="1"/>
  <c r="Y591" i="1"/>
  <c r="Z591" i="1"/>
  <c r="Y592" i="1"/>
  <c r="Z592" i="1"/>
  <c r="Y593" i="1"/>
  <c r="Z593" i="1"/>
  <c r="Y594" i="1"/>
  <c r="Z594" i="1"/>
  <c r="Y595" i="1"/>
  <c r="Z595" i="1"/>
  <c r="Y596" i="1"/>
  <c r="Z596" i="1"/>
  <c r="Y597" i="1"/>
  <c r="Z597" i="1"/>
  <c r="X598" i="1"/>
  <c r="Y598" i="1"/>
  <c r="Z598" i="1"/>
  <c r="X599" i="1"/>
  <c r="Y599" i="1"/>
  <c r="Z599" i="1"/>
  <c r="X600" i="1"/>
  <c r="Y600" i="1"/>
  <c r="Z600" i="1"/>
  <c r="X601" i="1"/>
  <c r="Y601" i="1"/>
  <c r="Z601" i="1"/>
  <c r="X602" i="1"/>
  <c r="Y602" i="1"/>
  <c r="Z602" i="1"/>
  <c r="Y603" i="1"/>
  <c r="Z603" i="1"/>
  <c r="X604" i="1"/>
  <c r="Y604" i="1"/>
  <c r="Z604" i="1"/>
  <c r="X605" i="1"/>
  <c r="Y605" i="1"/>
  <c r="Z605" i="1"/>
  <c r="X606" i="1"/>
  <c r="Y606" i="1"/>
  <c r="Z606" i="1"/>
  <c r="X607" i="1"/>
  <c r="Y607" i="1"/>
  <c r="Z607" i="1"/>
  <c r="X608" i="1"/>
  <c r="Y608" i="1"/>
  <c r="Z608" i="1"/>
  <c r="Y609" i="1"/>
  <c r="Z609" i="1"/>
  <c r="X610" i="1"/>
  <c r="Y610" i="1"/>
  <c r="Z610" i="1"/>
  <c r="X611" i="1"/>
  <c r="Y611" i="1"/>
  <c r="Z611" i="1"/>
  <c r="X612" i="1"/>
  <c r="Y612" i="1"/>
  <c r="Z612" i="1"/>
  <c r="X613" i="1"/>
  <c r="Y613" i="1"/>
  <c r="Z613" i="1"/>
  <c r="Y614" i="1"/>
  <c r="Z614" i="1"/>
  <c r="Y615" i="1"/>
  <c r="Z615" i="1"/>
  <c r="X616" i="1"/>
  <c r="Y616" i="1"/>
  <c r="Z616" i="1"/>
  <c r="X617" i="1"/>
  <c r="Y617" i="1"/>
  <c r="Z617" i="1"/>
  <c r="X618" i="1"/>
  <c r="Y618" i="1"/>
  <c r="Z618" i="1"/>
  <c r="X619" i="1"/>
  <c r="Y619" i="1"/>
  <c r="Z619" i="1"/>
  <c r="Y620" i="1"/>
  <c r="Z620" i="1"/>
  <c r="Y621" i="1"/>
  <c r="Z621" i="1"/>
  <c r="X622" i="1"/>
  <c r="Y622" i="1"/>
  <c r="Z622" i="1"/>
  <c r="X623" i="1"/>
  <c r="Y623" i="1"/>
  <c r="Z623" i="1"/>
  <c r="X624" i="1"/>
  <c r="Y624" i="1"/>
  <c r="Z624" i="1"/>
  <c r="X625" i="1"/>
  <c r="Y625" i="1"/>
  <c r="Z625" i="1"/>
  <c r="X626" i="1"/>
  <c r="Y626" i="1"/>
  <c r="Z626" i="1"/>
  <c r="X627" i="1"/>
  <c r="Y627" i="1"/>
  <c r="Z627" i="1"/>
  <c r="Y628" i="1"/>
  <c r="Z628" i="1"/>
  <c r="Y629" i="1"/>
  <c r="Z629" i="1"/>
  <c r="Y630" i="1"/>
  <c r="Z630" i="1"/>
  <c r="X631" i="1"/>
  <c r="Y631" i="1"/>
  <c r="Z631" i="1"/>
  <c r="X632" i="1"/>
  <c r="Y632" i="1"/>
  <c r="Z632" i="1"/>
  <c r="X633" i="1"/>
  <c r="Y633" i="1"/>
  <c r="Z633" i="1"/>
  <c r="Y634" i="1"/>
  <c r="Z634" i="1"/>
  <c r="Y635" i="1"/>
  <c r="Z635" i="1"/>
  <c r="Y636" i="1"/>
  <c r="Z636" i="1"/>
  <c r="Y637" i="1"/>
  <c r="Z637" i="1"/>
  <c r="Y638" i="1"/>
  <c r="Z638" i="1"/>
  <c r="X639" i="1"/>
  <c r="Y639" i="1"/>
  <c r="Z639" i="1"/>
  <c r="X640" i="1"/>
  <c r="Y640" i="1"/>
  <c r="Z640" i="1"/>
  <c r="Y641" i="1"/>
  <c r="Z641" i="1"/>
  <c r="Y642" i="1"/>
  <c r="Z642" i="1"/>
  <c r="Y643" i="1"/>
  <c r="Z643" i="1"/>
  <c r="Y644" i="1"/>
  <c r="Z644" i="1"/>
  <c r="X645" i="1"/>
  <c r="Y645" i="1"/>
  <c r="Z645" i="1"/>
  <c r="Y646" i="1"/>
  <c r="Z646" i="1"/>
  <c r="Y647" i="1"/>
  <c r="Z647" i="1"/>
  <c r="Y648" i="1"/>
  <c r="Z648" i="1"/>
  <c r="Y649" i="1"/>
  <c r="Z649" i="1"/>
  <c r="X650" i="1"/>
  <c r="Y650" i="1"/>
  <c r="Z650" i="1"/>
  <c r="X651" i="1"/>
  <c r="Y651" i="1"/>
  <c r="Z651" i="1"/>
  <c r="Y652" i="1"/>
  <c r="Z652" i="1"/>
  <c r="Y653" i="1"/>
  <c r="Z653" i="1"/>
  <c r="Y654" i="1"/>
  <c r="Z654" i="1"/>
  <c r="X655" i="1"/>
  <c r="Y655" i="1"/>
  <c r="Z655" i="1"/>
  <c r="X656" i="1"/>
  <c r="Y656" i="1"/>
  <c r="Z656" i="1"/>
  <c r="X657" i="1"/>
  <c r="Y657" i="1"/>
  <c r="Z657" i="1"/>
  <c r="Y658" i="1"/>
  <c r="Z658" i="1"/>
  <c r="Y659" i="1"/>
  <c r="Z659" i="1"/>
  <c r="X660" i="1"/>
  <c r="Y660" i="1"/>
  <c r="Z660" i="1"/>
  <c r="X661" i="1"/>
  <c r="Y661" i="1"/>
  <c r="Z661" i="1"/>
  <c r="X662" i="1"/>
  <c r="Y662" i="1"/>
  <c r="Z662" i="1"/>
  <c r="X663" i="1"/>
  <c r="Y663" i="1"/>
  <c r="Z663" i="1"/>
  <c r="Y664" i="1"/>
  <c r="Z664" i="1"/>
  <c r="Y665" i="1"/>
  <c r="Z665" i="1"/>
  <c r="X666" i="1"/>
  <c r="Y666" i="1"/>
  <c r="Z666" i="1"/>
  <c r="X667" i="1"/>
  <c r="Y667" i="1"/>
  <c r="Z667" i="1"/>
  <c r="X668" i="1"/>
  <c r="Y668" i="1"/>
  <c r="Z668" i="1"/>
  <c r="X669" i="1"/>
  <c r="Y669" i="1"/>
  <c r="Z669" i="1"/>
  <c r="Y670" i="1"/>
  <c r="Z670" i="1"/>
  <c r="Y671" i="1"/>
  <c r="Z671" i="1"/>
  <c r="Y672" i="1"/>
  <c r="Z672" i="1"/>
  <c r="Y673" i="1"/>
  <c r="Z673" i="1"/>
  <c r="X674" i="1"/>
  <c r="Y674" i="1"/>
  <c r="Z674" i="1"/>
  <c r="X675" i="1"/>
  <c r="Y675" i="1"/>
  <c r="Z675" i="1"/>
  <c r="Y676" i="1"/>
  <c r="Z676" i="1"/>
  <c r="Y677" i="1"/>
  <c r="Z677" i="1"/>
  <c r="Y678" i="1"/>
  <c r="Z678" i="1"/>
  <c r="Y679" i="1"/>
  <c r="Z679" i="1"/>
  <c r="Y680" i="1"/>
  <c r="Z680" i="1"/>
  <c r="Y681" i="1"/>
  <c r="Z681" i="1"/>
  <c r="X682" i="1"/>
  <c r="Y682" i="1"/>
  <c r="Z682" i="1"/>
  <c r="Y683" i="1"/>
  <c r="Z683" i="1"/>
  <c r="Y684" i="1"/>
  <c r="Z684" i="1"/>
  <c r="Y685" i="1"/>
  <c r="Z685" i="1"/>
  <c r="Y686" i="1"/>
  <c r="Z686" i="1"/>
  <c r="Y687" i="1"/>
  <c r="Z687" i="1"/>
  <c r="X688" i="1"/>
  <c r="Y688" i="1"/>
  <c r="Z688" i="1"/>
  <c r="Y689" i="1"/>
  <c r="Z689" i="1"/>
  <c r="Y690" i="1"/>
  <c r="Z690" i="1"/>
  <c r="X691" i="1"/>
  <c r="Y691" i="1"/>
  <c r="Z691" i="1"/>
  <c r="X692" i="1"/>
  <c r="Y692" i="1"/>
  <c r="Z692" i="1"/>
  <c r="X693" i="1"/>
  <c r="Y693" i="1"/>
  <c r="Z693" i="1"/>
  <c r="X694" i="1"/>
  <c r="Y694" i="1"/>
  <c r="Z694" i="1"/>
  <c r="X695" i="1"/>
  <c r="Y695" i="1"/>
  <c r="Z695" i="1"/>
  <c r="X696" i="1"/>
  <c r="Y696" i="1"/>
  <c r="Z696" i="1"/>
  <c r="X697" i="1"/>
  <c r="Y697" i="1"/>
  <c r="Z697" i="1"/>
  <c r="X698" i="1"/>
  <c r="Y698" i="1"/>
  <c r="Z698" i="1"/>
  <c r="X699" i="1"/>
  <c r="Y699" i="1"/>
  <c r="Z699" i="1"/>
  <c r="Y700" i="1"/>
  <c r="Z700" i="1"/>
  <c r="Y701" i="1"/>
  <c r="Z701" i="1"/>
  <c r="X702" i="1"/>
  <c r="Y702" i="1"/>
  <c r="Z702" i="1"/>
  <c r="X703" i="1"/>
  <c r="Y703" i="1"/>
  <c r="Z703" i="1"/>
  <c r="X704" i="1"/>
  <c r="Y704" i="1"/>
  <c r="Z704" i="1"/>
  <c r="Y705" i="1"/>
  <c r="Z705" i="1"/>
  <c r="Y706" i="1"/>
  <c r="Z706" i="1"/>
  <c r="X707" i="1"/>
  <c r="Y707" i="1"/>
  <c r="Z707" i="1"/>
  <c r="Y708" i="1"/>
  <c r="Z708" i="1"/>
  <c r="Y709" i="1"/>
  <c r="Z709" i="1"/>
  <c r="Y710" i="1"/>
  <c r="Z710" i="1"/>
  <c r="X711" i="1"/>
  <c r="Y711" i="1"/>
  <c r="Z711" i="1"/>
  <c r="X712" i="1"/>
  <c r="Y712" i="1"/>
  <c r="Z712" i="1"/>
  <c r="Y713" i="1"/>
  <c r="Z713" i="1"/>
  <c r="Y714" i="1"/>
  <c r="Z714" i="1"/>
  <c r="Y715" i="1"/>
  <c r="Z715" i="1"/>
  <c r="X716" i="1"/>
  <c r="Y716" i="1"/>
  <c r="Z716" i="1"/>
  <c r="X717" i="1"/>
  <c r="Y717" i="1"/>
  <c r="Z717" i="1"/>
  <c r="X718" i="1"/>
  <c r="Y718" i="1"/>
  <c r="Z718" i="1"/>
  <c r="X719" i="1"/>
  <c r="Y719" i="1"/>
  <c r="Z719" i="1"/>
  <c r="X720" i="1"/>
  <c r="Y720" i="1"/>
  <c r="Z720" i="1"/>
  <c r="Y721" i="1"/>
  <c r="Z721" i="1"/>
  <c r="Y722" i="1"/>
  <c r="Z722" i="1"/>
  <c r="Y723" i="1"/>
  <c r="Z723" i="1"/>
  <c r="Y724" i="1"/>
  <c r="Z724" i="1"/>
  <c r="Y725" i="1"/>
  <c r="Z725" i="1"/>
  <c r="Y726" i="1"/>
  <c r="Z726" i="1"/>
  <c r="Y727" i="1"/>
  <c r="Z727" i="1"/>
  <c r="Y728" i="1"/>
  <c r="Z728" i="1"/>
  <c r="Y729" i="1"/>
  <c r="Z729" i="1"/>
  <c r="Y730" i="1"/>
  <c r="Z730" i="1"/>
  <c r="Y731" i="1"/>
  <c r="Z731" i="1"/>
  <c r="X732" i="1"/>
  <c r="Y732" i="1"/>
  <c r="Z732" i="1"/>
  <c r="X733" i="1"/>
  <c r="Y733" i="1"/>
  <c r="Z733" i="1"/>
  <c r="X734" i="1"/>
  <c r="Y734" i="1"/>
  <c r="Z734" i="1"/>
  <c r="Y735" i="1"/>
  <c r="Z735" i="1"/>
  <c r="X736" i="1"/>
  <c r="Y736" i="1"/>
  <c r="Z736" i="1"/>
  <c r="X737" i="1"/>
  <c r="Y737" i="1"/>
  <c r="Z737" i="1"/>
  <c r="X738" i="1"/>
  <c r="Y738" i="1"/>
  <c r="Z738" i="1"/>
  <c r="X739" i="1"/>
  <c r="Y739" i="1"/>
  <c r="Z739" i="1"/>
  <c r="Y740" i="1"/>
  <c r="Z740" i="1"/>
  <c r="X741" i="1"/>
  <c r="Y741" i="1"/>
  <c r="Z741" i="1"/>
  <c r="X742" i="1"/>
  <c r="Y742" i="1"/>
  <c r="Z742" i="1"/>
  <c r="X743" i="1"/>
  <c r="Y743" i="1"/>
  <c r="Z743" i="1"/>
  <c r="Y744" i="1"/>
  <c r="Z744" i="1"/>
  <c r="Y745" i="1"/>
  <c r="Z745" i="1"/>
  <c r="X746" i="1"/>
  <c r="Y746" i="1"/>
  <c r="Z746" i="1"/>
  <c r="X747" i="1"/>
  <c r="Y747" i="1"/>
  <c r="Z747" i="1"/>
  <c r="Y748" i="1"/>
  <c r="Z748" i="1"/>
  <c r="Y749" i="1"/>
  <c r="Z749" i="1"/>
  <c r="Y750" i="1"/>
  <c r="Z750" i="1"/>
  <c r="X751" i="1"/>
  <c r="Y751" i="1"/>
  <c r="Z751" i="1"/>
  <c r="X752" i="1"/>
  <c r="Y752" i="1"/>
  <c r="Z752" i="1"/>
  <c r="Y753" i="1"/>
  <c r="Z753" i="1"/>
  <c r="X754" i="1"/>
  <c r="Y754" i="1"/>
  <c r="Z754" i="1"/>
  <c r="X755" i="1"/>
  <c r="Y755" i="1"/>
  <c r="Z755" i="1"/>
  <c r="X756" i="1"/>
  <c r="Y756" i="1"/>
  <c r="Z756" i="1"/>
  <c r="X757" i="1"/>
  <c r="Y757" i="1"/>
  <c r="Z757" i="1"/>
  <c r="X758" i="1"/>
  <c r="Y758" i="1"/>
  <c r="Z758" i="1"/>
  <c r="X759" i="1"/>
  <c r="Y759" i="1"/>
  <c r="Z759" i="1"/>
  <c r="X760" i="1"/>
  <c r="Y760" i="1"/>
  <c r="Z760" i="1"/>
  <c r="X761" i="1"/>
  <c r="Y761" i="1"/>
  <c r="Z761" i="1"/>
  <c r="X762" i="1"/>
  <c r="Y762" i="1"/>
  <c r="Z762" i="1"/>
  <c r="X763" i="1"/>
  <c r="Y763" i="1"/>
  <c r="Z763" i="1"/>
  <c r="X764" i="1"/>
  <c r="Y764" i="1"/>
  <c r="Z764" i="1"/>
  <c r="X765" i="1"/>
  <c r="Y765" i="1"/>
  <c r="Z765" i="1"/>
  <c r="X766" i="1"/>
  <c r="Y766" i="1"/>
  <c r="Z766" i="1"/>
  <c r="X767" i="1"/>
  <c r="Y767" i="1"/>
  <c r="Z767" i="1"/>
  <c r="X768" i="1"/>
  <c r="Y768" i="1"/>
  <c r="Z768" i="1"/>
  <c r="X769" i="1"/>
  <c r="Y769" i="1"/>
  <c r="Z769" i="1"/>
  <c r="X770" i="1"/>
  <c r="Y770" i="1"/>
  <c r="Z770" i="1"/>
  <c r="X771" i="1"/>
  <c r="Y771" i="1"/>
  <c r="Z771" i="1"/>
  <c r="X772" i="1"/>
  <c r="Y772" i="1"/>
  <c r="Z772" i="1"/>
  <c r="X773" i="1"/>
  <c r="Y773" i="1"/>
  <c r="Z773" i="1"/>
  <c r="X774" i="1"/>
  <c r="Y774" i="1"/>
  <c r="Z774" i="1"/>
  <c r="X775" i="1"/>
  <c r="Y775" i="1"/>
  <c r="Z775" i="1"/>
  <c r="X776" i="1"/>
  <c r="Y776" i="1"/>
  <c r="Z776" i="1"/>
  <c r="X777" i="1"/>
  <c r="Y777" i="1"/>
  <c r="Z777" i="1"/>
  <c r="X778" i="1"/>
  <c r="Y778" i="1"/>
  <c r="Z778" i="1"/>
  <c r="Y779" i="1"/>
  <c r="Z779" i="1"/>
  <c r="Y780" i="1"/>
  <c r="Z780" i="1"/>
  <c r="Y781" i="1"/>
  <c r="Z781" i="1"/>
  <c r="Y782" i="1"/>
  <c r="Z782" i="1"/>
  <c r="Y783" i="1"/>
  <c r="Z783" i="1"/>
  <c r="Y784" i="1"/>
  <c r="Z784" i="1"/>
  <c r="Y785" i="1"/>
  <c r="Z785" i="1"/>
  <c r="Y786" i="1"/>
  <c r="Z786" i="1"/>
  <c r="Y787" i="1"/>
  <c r="Z787" i="1"/>
  <c r="Y788" i="1"/>
  <c r="Z788" i="1"/>
  <c r="X789" i="1"/>
  <c r="Y789" i="1"/>
  <c r="Z789" i="1"/>
  <c r="X790" i="1"/>
  <c r="Y790" i="1"/>
  <c r="Z790" i="1"/>
  <c r="X791" i="1"/>
  <c r="Y791" i="1"/>
  <c r="Z791" i="1"/>
  <c r="X792" i="1"/>
  <c r="Y792" i="1"/>
  <c r="Z792" i="1"/>
  <c r="X793" i="1"/>
  <c r="Y793" i="1"/>
  <c r="Z793" i="1"/>
  <c r="X794" i="1"/>
  <c r="Y794" i="1"/>
  <c r="Z794" i="1"/>
  <c r="X795" i="1"/>
  <c r="Y795" i="1"/>
  <c r="Z795" i="1"/>
  <c r="X796" i="1"/>
  <c r="Y796" i="1"/>
  <c r="Z796" i="1"/>
  <c r="X797" i="1"/>
  <c r="Y797" i="1"/>
  <c r="Z797" i="1"/>
  <c r="X798" i="1"/>
  <c r="Y798" i="1"/>
  <c r="Z798" i="1"/>
  <c r="X799" i="1"/>
  <c r="Y799" i="1"/>
  <c r="Z799" i="1"/>
  <c r="X800" i="1"/>
  <c r="Y800" i="1"/>
  <c r="Z800" i="1"/>
  <c r="Y801" i="1"/>
  <c r="Z801" i="1"/>
  <c r="X802" i="1"/>
  <c r="Y802" i="1"/>
  <c r="Z802" i="1"/>
  <c r="X803" i="1"/>
  <c r="Y803" i="1"/>
  <c r="Z803" i="1"/>
  <c r="X804" i="1"/>
  <c r="Y804" i="1"/>
  <c r="Z804" i="1"/>
  <c r="X805" i="1"/>
  <c r="Y805" i="1"/>
  <c r="Z805" i="1"/>
  <c r="X806" i="1"/>
  <c r="Y806" i="1"/>
  <c r="Z806" i="1"/>
  <c r="Y807" i="1"/>
  <c r="Z807" i="1"/>
  <c r="X808" i="1"/>
  <c r="Y808" i="1"/>
  <c r="Z808" i="1"/>
  <c r="X809" i="1"/>
  <c r="Y809" i="1"/>
  <c r="Z809" i="1"/>
  <c r="X810" i="1"/>
  <c r="Y810" i="1"/>
  <c r="Z810" i="1"/>
  <c r="Y811" i="1"/>
  <c r="Z811" i="1"/>
  <c r="Y812" i="1"/>
  <c r="Z812" i="1"/>
  <c r="Y813" i="1"/>
  <c r="Z813" i="1"/>
  <c r="Y814" i="1"/>
  <c r="Z814" i="1"/>
  <c r="Y815" i="1"/>
  <c r="Z815" i="1"/>
  <c r="X816" i="1"/>
  <c r="Y816" i="1"/>
  <c r="Z816" i="1"/>
  <c r="Y817" i="1"/>
  <c r="Z817" i="1"/>
  <c r="Y818" i="1"/>
  <c r="Z818" i="1"/>
  <c r="Y819" i="1"/>
  <c r="Z819" i="1"/>
  <c r="Y820" i="1"/>
  <c r="Z820" i="1"/>
  <c r="Y821" i="1"/>
  <c r="Z821" i="1"/>
  <c r="X822" i="1"/>
  <c r="Y822" i="1"/>
  <c r="Z822" i="1"/>
  <c r="Y823" i="1"/>
  <c r="Z823" i="1"/>
  <c r="Y824" i="1"/>
  <c r="Z824" i="1"/>
  <c r="Y825" i="1"/>
  <c r="Z825" i="1"/>
  <c r="Y826" i="1"/>
  <c r="Z826" i="1"/>
  <c r="Y827" i="1"/>
  <c r="Z827" i="1"/>
  <c r="X828" i="1"/>
  <c r="Y828" i="1"/>
  <c r="Z828" i="1"/>
  <c r="X829" i="1"/>
  <c r="Y829" i="1"/>
  <c r="Z829" i="1"/>
  <c r="Y830" i="1"/>
  <c r="Z830" i="1"/>
  <c r="Y831" i="1"/>
  <c r="Z831" i="1"/>
  <c r="Y832" i="1"/>
  <c r="Z832" i="1"/>
  <c r="Y833" i="1"/>
  <c r="Z833" i="1"/>
  <c r="X834" i="1"/>
  <c r="Y834" i="1"/>
  <c r="Z834" i="1"/>
  <c r="X835" i="1"/>
  <c r="Y835" i="1"/>
  <c r="Z835" i="1"/>
  <c r="X836" i="1"/>
  <c r="Y836" i="1"/>
  <c r="Z836" i="1"/>
  <c r="X837" i="1"/>
  <c r="Y837" i="1"/>
  <c r="Z837" i="1"/>
  <c r="X838" i="1"/>
  <c r="Y838" i="1"/>
  <c r="Z838" i="1"/>
  <c r="X839" i="1"/>
  <c r="Y839" i="1"/>
  <c r="Z839" i="1"/>
  <c r="X840" i="1"/>
  <c r="Y840" i="1"/>
  <c r="Z840" i="1"/>
  <c r="X841" i="1"/>
  <c r="Y841" i="1"/>
  <c r="Z841" i="1"/>
  <c r="X842" i="1"/>
  <c r="Y842" i="1"/>
  <c r="Z842" i="1"/>
  <c r="X843" i="1"/>
  <c r="Y843" i="1"/>
  <c r="Z843" i="1"/>
  <c r="X844" i="1"/>
  <c r="Y844" i="1"/>
  <c r="Z844" i="1"/>
  <c r="X845" i="1"/>
  <c r="Y845" i="1"/>
  <c r="Z845" i="1"/>
  <c r="X846" i="1"/>
  <c r="Y846" i="1"/>
  <c r="Z846" i="1"/>
  <c r="X847" i="1"/>
  <c r="Y847" i="1"/>
  <c r="Z847" i="1"/>
  <c r="X848" i="1"/>
  <c r="Y848" i="1"/>
  <c r="Z848" i="1"/>
  <c r="X849" i="1"/>
  <c r="Y849" i="1"/>
  <c r="Z849" i="1"/>
  <c r="X850" i="1"/>
  <c r="Y850" i="1"/>
  <c r="Z850" i="1"/>
  <c r="X851" i="1"/>
  <c r="Y851" i="1"/>
  <c r="Z851" i="1"/>
  <c r="Y852" i="1"/>
  <c r="Z852" i="1"/>
  <c r="X853" i="1"/>
  <c r="Y853" i="1"/>
  <c r="Z853" i="1"/>
  <c r="X854" i="1"/>
  <c r="Y854" i="1"/>
  <c r="Z854" i="1"/>
  <c r="X855" i="1"/>
  <c r="Y855" i="1"/>
  <c r="Z855" i="1"/>
  <c r="X856" i="1"/>
  <c r="Y856" i="1"/>
  <c r="Z856" i="1"/>
  <c r="X857" i="1"/>
  <c r="Y857" i="1"/>
  <c r="Z857" i="1"/>
  <c r="Y858" i="1"/>
  <c r="Z858" i="1"/>
  <c r="Y859" i="1"/>
  <c r="Z859" i="1"/>
  <c r="X860" i="1"/>
  <c r="Y860" i="1"/>
  <c r="Z860" i="1"/>
  <c r="X861" i="1"/>
  <c r="Y861" i="1"/>
  <c r="Z861" i="1"/>
  <c r="X862" i="1"/>
  <c r="Y862" i="1"/>
  <c r="Z862" i="1"/>
  <c r="X863" i="1"/>
  <c r="Y863" i="1"/>
  <c r="Z863" i="1"/>
  <c r="Y864" i="1"/>
  <c r="Z864" i="1"/>
  <c r="Y865" i="1"/>
  <c r="Z865" i="1"/>
  <c r="X866" i="1"/>
  <c r="Y866" i="1"/>
  <c r="Z866" i="1"/>
  <c r="X867" i="1"/>
  <c r="Y867" i="1"/>
  <c r="Z867" i="1"/>
  <c r="X868" i="1"/>
  <c r="Y868" i="1"/>
  <c r="Z868" i="1"/>
  <c r="X869" i="1"/>
  <c r="Y869" i="1"/>
  <c r="Z869" i="1"/>
  <c r="X870" i="1"/>
  <c r="Y870" i="1"/>
  <c r="Z870" i="1"/>
  <c r="X871" i="1"/>
  <c r="Y871" i="1"/>
  <c r="Z871" i="1"/>
  <c r="X872" i="1"/>
  <c r="Y872" i="1"/>
  <c r="Z872" i="1"/>
  <c r="X873" i="1"/>
  <c r="Y873" i="1"/>
  <c r="Z873" i="1"/>
  <c r="X874" i="1"/>
  <c r="Y874" i="1"/>
  <c r="Z874" i="1"/>
  <c r="X875" i="1"/>
  <c r="Y875" i="1"/>
  <c r="Z875" i="1"/>
  <c r="X876" i="1"/>
  <c r="Y876" i="1"/>
  <c r="Z876" i="1"/>
  <c r="X877" i="1"/>
  <c r="Y877" i="1"/>
  <c r="Z877" i="1"/>
  <c r="Y878" i="1"/>
  <c r="Z878" i="1"/>
  <c r="Y879" i="1"/>
  <c r="Z879" i="1"/>
  <c r="X880" i="1"/>
  <c r="Y880" i="1"/>
  <c r="Z880" i="1"/>
  <c r="X881" i="1"/>
  <c r="Y881" i="1"/>
  <c r="Z881" i="1"/>
  <c r="X882" i="1"/>
  <c r="Y882" i="1"/>
  <c r="Z882" i="1"/>
  <c r="X883" i="1"/>
  <c r="Y883" i="1"/>
  <c r="Z883" i="1"/>
  <c r="Y884" i="1"/>
  <c r="Z884" i="1"/>
  <c r="X885" i="1"/>
  <c r="Y885" i="1"/>
  <c r="Z885" i="1"/>
  <c r="X886" i="1"/>
  <c r="Y886" i="1"/>
  <c r="Z886" i="1"/>
  <c r="Y887" i="1"/>
  <c r="Z887" i="1"/>
  <c r="X888" i="1"/>
  <c r="Y888" i="1"/>
  <c r="Z888" i="1"/>
  <c r="Y889" i="1"/>
  <c r="Z889" i="1"/>
  <c r="Y890" i="1"/>
  <c r="Z890" i="1"/>
  <c r="X891" i="1"/>
  <c r="Y891" i="1"/>
  <c r="Z891" i="1"/>
  <c r="X892" i="1"/>
  <c r="Y892" i="1"/>
  <c r="Z892" i="1"/>
  <c r="X893" i="1"/>
  <c r="Y893" i="1"/>
  <c r="Z893" i="1"/>
  <c r="Y894" i="1"/>
  <c r="Z894" i="1"/>
  <c r="X895" i="1"/>
  <c r="Y895" i="1"/>
  <c r="Z895" i="1"/>
  <c r="X896" i="1"/>
  <c r="Y896" i="1"/>
  <c r="Z896" i="1"/>
  <c r="Y897" i="1"/>
  <c r="Z897" i="1"/>
  <c r="X898" i="1"/>
  <c r="Y898" i="1"/>
  <c r="Z898" i="1"/>
  <c r="X899" i="1"/>
  <c r="Y899" i="1"/>
  <c r="Z899" i="1"/>
  <c r="X900" i="1"/>
  <c r="Y900" i="1"/>
  <c r="Z900" i="1"/>
  <c r="X901" i="1"/>
  <c r="Y901" i="1"/>
  <c r="Z901" i="1"/>
  <c r="X902" i="1"/>
  <c r="Y902" i="1"/>
  <c r="Z902" i="1"/>
  <c r="X903" i="1"/>
  <c r="Y903" i="1"/>
  <c r="Z903" i="1"/>
  <c r="X904" i="1"/>
  <c r="Y904" i="1"/>
  <c r="Z904" i="1"/>
  <c r="X905" i="1"/>
  <c r="Y905" i="1"/>
  <c r="Z905" i="1"/>
  <c r="X906" i="1"/>
  <c r="Y906" i="1"/>
  <c r="Z906" i="1"/>
  <c r="X907" i="1"/>
  <c r="Y907" i="1"/>
  <c r="Z907" i="1"/>
  <c r="X908" i="1"/>
  <c r="Y908" i="1"/>
  <c r="Z908" i="1"/>
  <c r="X909" i="1"/>
  <c r="Y909" i="1"/>
  <c r="Z909" i="1"/>
  <c r="X910" i="1"/>
  <c r="Y910" i="1"/>
  <c r="Z910" i="1"/>
  <c r="X911" i="1"/>
  <c r="Y911" i="1"/>
  <c r="Z911" i="1"/>
  <c r="X912" i="1"/>
  <c r="Y912" i="1"/>
  <c r="Z912" i="1"/>
  <c r="X913" i="1"/>
  <c r="Y913" i="1"/>
  <c r="Z913" i="1"/>
  <c r="X914" i="1"/>
  <c r="Y914" i="1"/>
  <c r="Z914" i="1"/>
  <c r="X915" i="1"/>
  <c r="Y915" i="1"/>
  <c r="Z915" i="1"/>
  <c r="X916" i="1"/>
  <c r="Y916" i="1"/>
  <c r="Z916" i="1"/>
  <c r="X917" i="1"/>
  <c r="Y917" i="1"/>
  <c r="Z917" i="1"/>
  <c r="X918" i="1"/>
  <c r="Y918" i="1"/>
  <c r="Z918" i="1"/>
  <c r="X919" i="1"/>
  <c r="Y919" i="1"/>
  <c r="Z919" i="1"/>
  <c r="X920" i="1"/>
  <c r="Y920" i="1"/>
  <c r="Z920" i="1"/>
  <c r="X921" i="1"/>
  <c r="Y921" i="1"/>
  <c r="Z921" i="1"/>
  <c r="X922" i="1"/>
  <c r="Y922" i="1"/>
  <c r="Z922" i="1"/>
  <c r="X923" i="1"/>
  <c r="Y923" i="1"/>
  <c r="Z923" i="1"/>
  <c r="X924" i="1"/>
  <c r="Y924" i="1"/>
  <c r="Z924" i="1"/>
  <c r="X925" i="1"/>
  <c r="Y925" i="1"/>
  <c r="Z925" i="1"/>
  <c r="Y926" i="1"/>
  <c r="Z926" i="1"/>
  <c r="Y927" i="1"/>
  <c r="Z927" i="1"/>
  <c r="X928" i="1"/>
  <c r="Y928" i="1"/>
  <c r="Z928" i="1"/>
  <c r="Y929" i="1"/>
  <c r="Z929" i="1"/>
  <c r="Y930" i="1"/>
  <c r="Z930" i="1"/>
  <c r="X931" i="1"/>
  <c r="Y931" i="1"/>
  <c r="Z931" i="1"/>
  <c r="Y932" i="1"/>
  <c r="Z932" i="1"/>
  <c r="Y933" i="1"/>
  <c r="Z933" i="1"/>
  <c r="X934" i="1"/>
  <c r="Y934" i="1"/>
  <c r="Z934" i="1"/>
  <c r="Y935" i="1"/>
  <c r="Z935" i="1"/>
  <c r="Y936" i="1"/>
  <c r="Z936" i="1"/>
  <c r="X937" i="1"/>
  <c r="Y937" i="1"/>
  <c r="Z937" i="1"/>
  <c r="X938" i="1"/>
  <c r="Y938" i="1"/>
  <c r="Z938" i="1"/>
  <c r="X939" i="1"/>
  <c r="Y939" i="1"/>
  <c r="Z939" i="1"/>
  <c r="X940" i="1"/>
  <c r="Y940" i="1"/>
  <c r="Z940" i="1"/>
  <c r="X941" i="1"/>
  <c r="Y941" i="1"/>
  <c r="Z941" i="1"/>
  <c r="X942" i="1"/>
  <c r="Y942" i="1"/>
  <c r="Z942" i="1"/>
  <c r="X943" i="1"/>
  <c r="Y943" i="1"/>
  <c r="Z943" i="1"/>
  <c r="X944" i="1"/>
  <c r="Y944" i="1"/>
  <c r="Z944" i="1"/>
  <c r="X945" i="1"/>
  <c r="Y945" i="1"/>
  <c r="Z945" i="1"/>
  <c r="X946" i="1"/>
  <c r="Y946" i="1"/>
  <c r="Z946" i="1"/>
  <c r="X947" i="1"/>
  <c r="Y947" i="1"/>
  <c r="Z947" i="1"/>
  <c r="X948" i="1"/>
  <c r="Y948" i="1"/>
  <c r="Z948" i="1"/>
  <c r="X949" i="1"/>
  <c r="Y949" i="1"/>
  <c r="Z949" i="1"/>
  <c r="X950" i="1"/>
  <c r="Y950" i="1"/>
  <c r="Z950" i="1"/>
  <c r="X951" i="1"/>
  <c r="Y951" i="1"/>
  <c r="Z951" i="1"/>
  <c r="X952" i="1"/>
  <c r="Y952" i="1"/>
  <c r="Z952" i="1"/>
  <c r="Y953" i="1"/>
  <c r="Z953" i="1"/>
  <c r="Y954" i="1"/>
  <c r="Z954" i="1"/>
  <c r="Y955" i="1"/>
  <c r="Z955" i="1"/>
  <c r="Y956" i="1"/>
  <c r="Z956" i="1"/>
  <c r="X957" i="1"/>
  <c r="Y957" i="1"/>
  <c r="Z957" i="1"/>
  <c r="X958" i="1"/>
  <c r="Y958" i="1"/>
  <c r="Z958" i="1"/>
  <c r="Y959" i="1"/>
  <c r="Z959" i="1"/>
  <c r="Y960" i="1"/>
  <c r="Z960" i="1"/>
  <c r="Y961" i="1"/>
  <c r="Z961" i="1"/>
  <c r="Y962" i="1"/>
  <c r="Z962" i="1"/>
  <c r="Y963" i="1"/>
  <c r="Z963" i="1"/>
  <c r="Y964" i="1"/>
  <c r="Z964" i="1"/>
  <c r="Y965" i="1"/>
  <c r="Z965" i="1"/>
  <c r="Y966" i="1"/>
  <c r="Z966" i="1"/>
  <c r="Y967" i="1"/>
  <c r="Z967" i="1"/>
  <c r="Y968" i="1"/>
  <c r="Z968" i="1"/>
  <c r="Y969" i="1"/>
  <c r="Z969" i="1"/>
  <c r="X970" i="1"/>
  <c r="Y970" i="1"/>
  <c r="Z970" i="1"/>
  <c r="X971" i="1"/>
  <c r="Y971" i="1"/>
  <c r="Z971" i="1"/>
  <c r="Y972" i="1"/>
  <c r="Z972" i="1"/>
  <c r="X973" i="1"/>
  <c r="Y973" i="1"/>
  <c r="Z973" i="1"/>
  <c r="Y974" i="1"/>
  <c r="Z974" i="1"/>
  <c r="Y975" i="1"/>
  <c r="Z975" i="1"/>
  <c r="Y976" i="1"/>
  <c r="Z976" i="1"/>
  <c r="X977" i="1"/>
  <c r="Y977" i="1"/>
  <c r="Z977" i="1"/>
  <c r="Y978" i="1"/>
  <c r="Z978" i="1"/>
  <c r="Y979" i="1"/>
  <c r="Z979" i="1"/>
  <c r="X980" i="1"/>
  <c r="Y980" i="1"/>
  <c r="Z980" i="1"/>
  <c r="X981" i="1"/>
  <c r="Y981" i="1"/>
  <c r="Z981" i="1"/>
  <c r="X982" i="1"/>
  <c r="Y982" i="1"/>
  <c r="Z982" i="1"/>
  <c r="X983" i="1"/>
  <c r="Y983" i="1"/>
  <c r="Z983" i="1"/>
  <c r="X984" i="1"/>
  <c r="Y984" i="1"/>
  <c r="Z984" i="1"/>
  <c r="X985" i="1"/>
  <c r="Y985" i="1"/>
  <c r="Z985" i="1"/>
  <c r="X986" i="1"/>
  <c r="Y986" i="1"/>
  <c r="Z986" i="1"/>
  <c r="X987" i="1"/>
  <c r="Y987" i="1"/>
  <c r="Z987" i="1"/>
  <c r="X988" i="1"/>
  <c r="Y988" i="1"/>
  <c r="Z988" i="1"/>
  <c r="X989" i="1"/>
  <c r="Y989" i="1"/>
  <c r="Z989" i="1"/>
  <c r="X990" i="1"/>
  <c r="Y990" i="1"/>
  <c r="Z990" i="1"/>
  <c r="X991" i="1"/>
  <c r="Y991" i="1"/>
  <c r="Z991" i="1"/>
  <c r="X992" i="1"/>
  <c r="Y992" i="1"/>
  <c r="Z992" i="1"/>
  <c r="X993" i="1"/>
  <c r="Y993" i="1"/>
  <c r="Z993" i="1"/>
  <c r="X994" i="1"/>
  <c r="Y994" i="1"/>
  <c r="Z994" i="1"/>
  <c r="X995" i="1"/>
  <c r="Y995" i="1"/>
  <c r="Z995" i="1"/>
  <c r="X996" i="1"/>
  <c r="Y996" i="1"/>
  <c r="Z996" i="1"/>
  <c r="X997" i="1"/>
  <c r="Y997" i="1"/>
  <c r="Z997" i="1"/>
  <c r="Y998" i="1"/>
  <c r="Z998" i="1"/>
  <c r="Y999" i="1"/>
  <c r="Z999" i="1"/>
  <c r="X1000" i="1"/>
  <c r="Y1000" i="1"/>
  <c r="Z1000" i="1"/>
  <c r="Y1001" i="1"/>
  <c r="Z1001" i="1"/>
  <c r="Y1002" i="1"/>
  <c r="Z1002" i="1"/>
  <c r="X1003" i="1"/>
  <c r="Y1003" i="1"/>
  <c r="Z1003" i="1"/>
  <c r="X1004" i="1"/>
  <c r="Y1004" i="1"/>
  <c r="Z1004" i="1"/>
  <c r="X1005" i="1"/>
  <c r="Y1005" i="1"/>
  <c r="Z1005" i="1"/>
  <c r="Y1006" i="1"/>
  <c r="Z1006" i="1"/>
  <c r="X1007" i="1"/>
  <c r="Y1007" i="1"/>
  <c r="Z1007" i="1"/>
  <c r="X1008" i="1"/>
  <c r="Y1008" i="1"/>
  <c r="Z1008" i="1"/>
  <c r="X1009" i="1"/>
  <c r="Y1009" i="1"/>
  <c r="Z1009" i="1"/>
  <c r="X1010" i="1"/>
  <c r="Y1010" i="1"/>
  <c r="Z1010" i="1"/>
  <c r="X1011" i="1"/>
  <c r="Y1011" i="1"/>
  <c r="Z1011" i="1"/>
  <c r="X1012" i="1"/>
  <c r="Y1012" i="1"/>
  <c r="Z1012" i="1"/>
  <c r="X1013" i="1"/>
  <c r="Y1013" i="1"/>
  <c r="Z1013" i="1"/>
  <c r="X1014" i="1"/>
  <c r="Y1014" i="1"/>
  <c r="Z1014" i="1"/>
  <c r="X1015" i="1"/>
  <c r="Y1015" i="1"/>
  <c r="Z1015" i="1"/>
  <c r="X1016" i="1"/>
  <c r="Y1016" i="1"/>
  <c r="Z1016" i="1"/>
  <c r="X1017" i="1"/>
  <c r="Y1017" i="1"/>
  <c r="Z1017" i="1"/>
  <c r="X1018" i="1"/>
  <c r="Y1018" i="1"/>
  <c r="Z1018" i="1"/>
  <c r="Y1019" i="1"/>
  <c r="Z1019" i="1"/>
  <c r="Y1020" i="1"/>
  <c r="Z1020" i="1"/>
  <c r="X1021" i="1"/>
  <c r="Y1021" i="1"/>
  <c r="Z1021" i="1"/>
  <c r="X1022" i="1"/>
  <c r="Y1022" i="1"/>
  <c r="Z1022" i="1"/>
  <c r="X1023" i="1"/>
  <c r="Y1023" i="1"/>
  <c r="Z1023" i="1"/>
  <c r="X1024" i="1"/>
  <c r="Y1024" i="1"/>
  <c r="Z1024" i="1"/>
  <c r="X1025" i="1"/>
  <c r="Y1025" i="1"/>
  <c r="Z1025" i="1"/>
  <c r="X1026" i="1"/>
  <c r="Y1026" i="1"/>
  <c r="Z1026" i="1"/>
  <c r="X1027" i="1"/>
  <c r="Y1027" i="1"/>
  <c r="Z1027" i="1"/>
  <c r="X1028" i="1"/>
  <c r="Y1028" i="1"/>
  <c r="Z1028" i="1"/>
  <c r="X1029" i="1"/>
  <c r="Y1029" i="1"/>
  <c r="Z1029" i="1"/>
  <c r="X1030" i="1"/>
  <c r="Y1030" i="1"/>
  <c r="Z1030" i="1"/>
  <c r="X1031" i="1"/>
  <c r="Y1031" i="1"/>
  <c r="Z1031" i="1"/>
  <c r="Y1032" i="1"/>
  <c r="Z1032" i="1"/>
  <c r="Y1033" i="1"/>
  <c r="Z1033" i="1"/>
  <c r="X1034" i="1"/>
  <c r="Y1034" i="1"/>
  <c r="Z1034" i="1"/>
  <c r="X1035" i="1"/>
  <c r="Y1035" i="1"/>
  <c r="Z1035" i="1"/>
  <c r="X1036" i="1"/>
  <c r="Y1036" i="1"/>
  <c r="Z1036" i="1"/>
  <c r="X1037" i="1"/>
  <c r="Y1037" i="1"/>
  <c r="Z1037" i="1"/>
  <c r="X1038" i="1"/>
  <c r="Y1038" i="1"/>
  <c r="Z1038" i="1"/>
  <c r="X1039" i="1"/>
  <c r="Y1039" i="1"/>
  <c r="Z1039" i="1"/>
  <c r="X1040" i="1"/>
  <c r="Y1040" i="1"/>
  <c r="Z1040" i="1"/>
  <c r="X1041" i="1"/>
  <c r="Y1041" i="1"/>
  <c r="Z1041" i="1"/>
  <c r="X1042" i="1"/>
  <c r="Y1042" i="1"/>
  <c r="Z1042" i="1"/>
  <c r="X1043" i="1"/>
  <c r="Y1043" i="1"/>
  <c r="Z1043" i="1"/>
  <c r="X1044" i="1"/>
  <c r="Y1044" i="1"/>
  <c r="Z1044" i="1"/>
  <c r="X1045" i="1"/>
  <c r="Y1045" i="1"/>
  <c r="Z1045" i="1"/>
  <c r="X1046" i="1"/>
  <c r="Y1046" i="1"/>
  <c r="Z1046" i="1"/>
  <c r="X1047" i="1"/>
  <c r="Y1047" i="1"/>
  <c r="Z1047" i="1"/>
  <c r="X1048" i="1"/>
  <c r="Y1048" i="1"/>
  <c r="Z1048" i="1"/>
  <c r="X1049" i="1"/>
  <c r="Y1049" i="1"/>
  <c r="Z1049" i="1"/>
  <c r="X1050" i="1"/>
  <c r="Y1050" i="1"/>
  <c r="Z1050" i="1"/>
  <c r="X1051" i="1"/>
  <c r="Y1051" i="1"/>
  <c r="Z1051" i="1"/>
  <c r="X1052" i="1"/>
  <c r="Y1052" i="1"/>
  <c r="Z1052" i="1"/>
  <c r="X1053" i="1"/>
  <c r="Y1053" i="1"/>
  <c r="Z1053" i="1"/>
  <c r="X1054" i="1"/>
  <c r="Y1054" i="1"/>
  <c r="Z1054" i="1"/>
  <c r="X1055" i="1"/>
  <c r="Y1055" i="1"/>
  <c r="Z1055" i="1"/>
  <c r="X1056" i="1"/>
  <c r="Y1056" i="1"/>
  <c r="Z1056" i="1"/>
  <c r="X1057" i="1"/>
  <c r="Y1057" i="1"/>
  <c r="Z1057" i="1"/>
  <c r="X1058" i="1"/>
  <c r="Y1058" i="1"/>
  <c r="Z1058" i="1"/>
  <c r="X1059" i="1"/>
  <c r="Y1059" i="1"/>
  <c r="Z1059" i="1"/>
  <c r="X1060" i="1"/>
  <c r="Y1060" i="1"/>
  <c r="Z1060" i="1"/>
  <c r="X1061" i="1"/>
  <c r="Y1061" i="1"/>
  <c r="Z1061" i="1"/>
  <c r="X1062" i="1"/>
  <c r="Y1062" i="1"/>
  <c r="Z1062" i="1"/>
  <c r="X1063" i="1"/>
  <c r="Y1063" i="1"/>
  <c r="Z1063" i="1"/>
  <c r="X1064" i="1"/>
  <c r="Y1064" i="1"/>
  <c r="Z1064" i="1"/>
  <c r="X1065" i="1"/>
  <c r="Y1065" i="1"/>
  <c r="Z1065" i="1"/>
  <c r="X1066" i="1"/>
  <c r="Y1066" i="1"/>
  <c r="Z1066" i="1"/>
  <c r="Y1067" i="1"/>
  <c r="Z1067" i="1"/>
  <c r="X1068" i="1"/>
  <c r="Y1068" i="1"/>
  <c r="Z1068" i="1"/>
  <c r="X1069" i="1"/>
  <c r="Y1069" i="1"/>
  <c r="Z1069" i="1"/>
  <c r="X1070" i="1"/>
  <c r="Y1070" i="1"/>
  <c r="Z1070" i="1"/>
  <c r="X1071" i="1"/>
  <c r="Y1071" i="1"/>
  <c r="Z1071" i="1"/>
  <c r="X1072" i="1"/>
  <c r="Y1072" i="1"/>
  <c r="Z1072" i="1"/>
  <c r="X1073" i="1"/>
  <c r="Y1073" i="1"/>
  <c r="Z1073" i="1"/>
  <c r="Y1074" i="1"/>
  <c r="Z1074" i="1"/>
  <c r="X1075" i="1"/>
  <c r="Y1075" i="1"/>
  <c r="Z1075" i="1"/>
  <c r="X1076" i="1"/>
  <c r="Y1076" i="1"/>
  <c r="Z1076" i="1"/>
  <c r="X1077" i="1"/>
  <c r="Y1077" i="1"/>
  <c r="Z1077" i="1"/>
  <c r="X1078" i="1"/>
  <c r="Y1078" i="1"/>
  <c r="Z1078" i="1"/>
  <c r="X1079" i="1"/>
  <c r="Y1079" i="1"/>
  <c r="Z1079" i="1"/>
  <c r="X1080" i="1"/>
  <c r="Y1080" i="1"/>
  <c r="Z1080" i="1"/>
  <c r="X1081" i="1"/>
  <c r="Y1081" i="1"/>
  <c r="Z1081" i="1"/>
  <c r="X1082" i="1"/>
  <c r="Y1082" i="1"/>
  <c r="Z1082" i="1"/>
  <c r="X1083" i="1"/>
  <c r="Y1083" i="1"/>
  <c r="Z1083" i="1"/>
  <c r="X1084" i="1"/>
  <c r="Y1084" i="1"/>
  <c r="Z1084" i="1"/>
  <c r="X1085" i="1"/>
  <c r="Y1085" i="1"/>
  <c r="Z1085" i="1"/>
  <c r="X1086" i="1"/>
  <c r="Y1086" i="1"/>
  <c r="Z1086" i="1"/>
  <c r="X1087" i="1"/>
  <c r="Y1087" i="1"/>
  <c r="Z1087" i="1"/>
  <c r="X1088" i="1"/>
  <c r="Y1088" i="1"/>
  <c r="Z1088" i="1"/>
  <c r="X1089" i="1"/>
  <c r="Y1089" i="1"/>
  <c r="Z1089" i="1"/>
  <c r="X1090" i="1"/>
  <c r="Y1090" i="1"/>
  <c r="Z1090" i="1"/>
  <c r="X1091" i="1"/>
  <c r="Y1091" i="1"/>
  <c r="Z1091" i="1"/>
  <c r="X1092" i="1"/>
  <c r="Y1092" i="1"/>
  <c r="Z1092" i="1"/>
  <c r="Y1093" i="1"/>
  <c r="Z1093" i="1"/>
  <c r="X1094" i="1"/>
  <c r="Y1094" i="1"/>
  <c r="Z1094" i="1"/>
  <c r="X1095" i="1"/>
  <c r="Y1095" i="1"/>
  <c r="Z1095" i="1"/>
  <c r="Y1096" i="1"/>
  <c r="Z1096" i="1"/>
  <c r="X1097" i="1"/>
  <c r="Y1097" i="1"/>
  <c r="Z1097" i="1"/>
  <c r="X1098" i="1"/>
  <c r="Y1098" i="1"/>
  <c r="Z1098" i="1"/>
  <c r="X1099" i="1"/>
  <c r="Y1099" i="1"/>
  <c r="Z1099" i="1"/>
  <c r="Y1100" i="1"/>
  <c r="Z1100" i="1"/>
  <c r="Y1101" i="1"/>
  <c r="Z1101" i="1"/>
  <c r="Y1102" i="1"/>
  <c r="Z1102" i="1"/>
  <c r="X1103" i="1"/>
  <c r="Y1103" i="1"/>
  <c r="Z1103" i="1"/>
  <c r="X1104" i="1"/>
  <c r="Y1104" i="1"/>
  <c r="Z1104" i="1"/>
  <c r="X1105" i="1"/>
  <c r="Y1105" i="1"/>
  <c r="Z1105" i="1"/>
  <c r="X1106" i="1"/>
  <c r="Y1106" i="1"/>
  <c r="Z1106" i="1"/>
  <c r="X1107" i="1"/>
  <c r="Y1107" i="1"/>
  <c r="Z1107" i="1"/>
  <c r="X1108" i="1"/>
  <c r="Y1108" i="1"/>
  <c r="Z1108" i="1"/>
  <c r="X1109" i="1"/>
  <c r="Y1109" i="1"/>
  <c r="Z1109" i="1"/>
  <c r="X1110" i="1"/>
  <c r="Y1110" i="1"/>
  <c r="Z1110" i="1"/>
  <c r="X1111" i="1"/>
  <c r="Y1111" i="1"/>
  <c r="Z1111" i="1"/>
  <c r="X1112" i="1"/>
  <c r="Y1112" i="1"/>
  <c r="Z1112" i="1"/>
  <c r="X1113" i="1"/>
  <c r="Y1113" i="1"/>
  <c r="Z1113" i="1"/>
  <c r="X1114" i="1"/>
  <c r="Y1114" i="1"/>
  <c r="Z1114" i="1"/>
  <c r="X1115" i="1"/>
  <c r="Y1115" i="1"/>
  <c r="Z1115" i="1"/>
  <c r="X1116" i="1"/>
  <c r="Y1116" i="1"/>
  <c r="Z1116" i="1"/>
  <c r="X1117" i="1"/>
  <c r="Y1117" i="1"/>
  <c r="Z1117" i="1"/>
  <c r="X1118" i="1"/>
  <c r="Y1118" i="1"/>
  <c r="Z1118" i="1"/>
  <c r="X1119" i="1"/>
  <c r="Y1119" i="1"/>
  <c r="Z1119" i="1"/>
  <c r="X1120" i="1"/>
  <c r="Y1120" i="1"/>
  <c r="Z1120" i="1"/>
  <c r="X1121" i="1"/>
  <c r="Y1121" i="1"/>
  <c r="Z1121" i="1"/>
  <c r="X1122" i="1"/>
  <c r="Y1122" i="1"/>
  <c r="Z1122" i="1"/>
  <c r="X1123" i="1"/>
  <c r="Y1123" i="1"/>
  <c r="Z1123" i="1"/>
  <c r="X1124" i="1"/>
  <c r="Y1124" i="1"/>
  <c r="Z1124" i="1"/>
  <c r="X1125" i="1"/>
  <c r="Y1125" i="1"/>
  <c r="Z1125" i="1"/>
  <c r="X1126" i="1"/>
  <c r="Y1126" i="1"/>
  <c r="Z1126" i="1"/>
  <c r="X1127" i="1"/>
  <c r="Y1127" i="1"/>
  <c r="Z1127" i="1"/>
  <c r="X1128" i="1"/>
  <c r="Y1128" i="1"/>
  <c r="Z1128" i="1"/>
  <c r="Y1129" i="1"/>
  <c r="Z1129" i="1"/>
  <c r="Y1130" i="1"/>
  <c r="Z1130" i="1"/>
  <c r="X1131" i="1"/>
  <c r="Y1131" i="1"/>
  <c r="Z1131" i="1"/>
  <c r="Y1132" i="1"/>
  <c r="Z1132" i="1"/>
  <c r="Y1133" i="1"/>
  <c r="Z1133" i="1"/>
  <c r="Y1134" i="1"/>
  <c r="Z1134" i="1"/>
  <c r="Y1135" i="1"/>
  <c r="Z1135" i="1"/>
  <c r="X1136" i="1"/>
  <c r="Y1136" i="1"/>
  <c r="Z1136" i="1"/>
  <c r="Y1137" i="1"/>
  <c r="Z1137" i="1"/>
  <c r="Y1138" i="1"/>
  <c r="Z1138" i="1"/>
  <c r="Y1139" i="1"/>
  <c r="Z1139" i="1"/>
  <c r="Y1140" i="1"/>
  <c r="Z1140" i="1"/>
  <c r="Y1141" i="1"/>
  <c r="Z1141" i="1"/>
  <c r="Y1142" i="1"/>
  <c r="Z1142" i="1"/>
  <c r="X1143" i="1"/>
  <c r="Y1143" i="1"/>
  <c r="Z1143" i="1"/>
  <c r="X1144" i="1"/>
  <c r="Y1144" i="1"/>
  <c r="Z1144" i="1"/>
  <c r="Y1145" i="1"/>
  <c r="Z1145" i="1"/>
  <c r="Y1146" i="1"/>
  <c r="Z1146" i="1"/>
  <c r="Y1147" i="1"/>
  <c r="Z1147" i="1"/>
  <c r="Y1148" i="1"/>
  <c r="Z1148" i="1"/>
  <c r="Y1149" i="1"/>
  <c r="Z1149" i="1"/>
  <c r="Y1150" i="1"/>
  <c r="Z1150" i="1"/>
  <c r="X1151" i="1"/>
  <c r="Y1151" i="1"/>
  <c r="Z1151" i="1"/>
  <c r="X1152" i="1"/>
  <c r="Y1152" i="1"/>
  <c r="Z1152" i="1"/>
  <c r="X1153" i="1"/>
  <c r="Y1153" i="1"/>
  <c r="Z1153" i="1"/>
  <c r="Y1154" i="1"/>
  <c r="Z1154" i="1"/>
  <c r="Y1155" i="1"/>
  <c r="Z1155" i="1"/>
  <c r="Y1156" i="1"/>
  <c r="Z1156" i="1"/>
  <c r="X1157" i="1"/>
  <c r="Y1157" i="1"/>
  <c r="Z1157" i="1"/>
  <c r="Y1158" i="1"/>
  <c r="Z1158" i="1"/>
  <c r="Y1159" i="1"/>
  <c r="Z1159" i="1"/>
  <c r="Y1160" i="1"/>
  <c r="Z1160" i="1"/>
  <c r="Y1161" i="1"/>
  <c r="Z1161" i="1"/>
  <c r="Y1162" i="1"/>
  <c r="Z1162" i="1"/>
  <c r="Y1163" i="1"/>
  <c r="Z1163" i="1"/>
  <c r="Y1164" i="1"/>
  <c r="Z1164" i="1"/>
  <c r="Y1165" i="1"/>
  <c r="Z1165" i="1"/>
  <c r="X1166" i="1"/>
  <c r="Y1166" i="1"/>
  <c r="Z1166" i="1"/>
  <c r="X1167" i="1"/>
  <c r="Y1167" i="1"/>
  <c r="Z1167" i="1"/>
  <c r="X1168" i="1"/>
  <c r="Y1168" i="1"/>
  <c r="Z1168" i="1"/>
  <c r="Y1169" i="1"/>
  <c r="Z1169" i="1"/>
  <c r="Y1170" i="1"/>
  <c r="Z1170" i="1"/>
  <c r="Y1171" i="1"/>
  <c r="Z1171" i="1"/>
  <c r="Y1172" i="1"/>
  <c r="Z1172" i="1"/>
  <c r="X1173" i="1"/>
  <c r="Y1173" i="1"/>
  <c r="Z1173" i="1"/>
  <c r="Y1174" i="1"/>
  <c r="Z1174" i="1"/>
  <c r="Y1175" i="1"/>
  <c r="Z1175" i="1"/>
  <c r="Y1176" i="1"/>
  <c r="Z1176" i="1"/>
  <c r="Y1177" i="1"/>
  <c r="Z1177" i="1"/>
  <c r="X1178" i="1"/>
  <c r="Y1178" i="1"/>
  <c r="Z1178" i="1"/>
  <c r="X1179" i="1"/>
  <c r="Y1179" i="1"/>
  <c r="Z1179" i="1"/>
  <c r="X1180" i="1"/>
  <c r="Y1180" i="1"/>
  <c r="Z1180" i="1"/>
  <c r="X1181" i="1"/>
  <c r="Y1181" i="1"/>
  <c r="Z1181" i="1"/>
  <c r="X1182" i="1"/>
  <c r="Y1182" i="1"/>
  <c r="Z1182" i="1"/>
  <c r="Y1183" i="1"/>
  <c r="Z1183" i="1"/>
  <c r="Y1184" i="1"/>
  <c r="Z1184" i="1"/>
  <c r="Y1185" i="1"/>
  <c r="Z1185" i="1"/>
  <c r="X1186" i="1"/>
  <c r="Y1186" i="1"/>
  <c r="Z1186" i="1"/>
  <c r="X1187" i="1"/>
  <c r="Y1187" i="1"/>
  <c r="Z1187" i="1"/>
  <c r="Y1188" i="1"/>
  <c r="Z1188" i="1"/>
  <c r="Y1189" i="1"/>
  <c r="Z1189" i="1"/>
  <c r="Y1190" i="1"/>
  <c r="Z1190" i="1"/>
  <c r="X1191" i="1"/>
  <c r="Y1191" i="1"/>
  <c r="Z1191" i="1"/>
  <c r="Y1192" i="1"/>
  <c r="Z1192" i="1"/>
  <c r="Y1193" i="1"/>
  <c r="Z1193" i="1"/>
  <c r="Y1194" i="1"/>
  <c r="Z1194" i="1"/>
  <c r="Y1195" i="1"/>
  <c r="Z1195" i="1"/>
  <c r="Y1196" i="1"/>
  <c r="Z1196" i="1"/>
  <c r="Y1197" i="1"/>
  <c r="Z1197" i="1"/>
  <c r="Y1198" i="1"/>
  <c r="Z1198" i="1"/>
  <c r="Y1199" i="1"/>
  <c r="Z1199" i="1"/>
  <c r="Y1200" i="1"/>
  <c r="Z1200" i="1"/>
  <c r="Y1201" i="1"/>
  <c r="Z1201" i="1"/>
  <c r="Y1202" i="1"/>
  <c r="Z1202" i="1"/>
  <c r="Y1203" i="1"/>
  <c r="Z1203" i="1"/>
  <c r="Y1204" i="1"/>
  <c r="Z1204" i="1"/>
  <c r="Y1205" i="1"/>
  <c r="Z1205" i="1"/>
  <c r="Y1206" i="1"/>
  <c r="Z1206" i="1"/>
  <c r="Y1207" i="1"/>
  <c r="Z1207" i="1"/>
  <c r="Y1208" i="1"/>
  <c r="Z1208" i="1"/>
  <c r="Y1209" i="1"/>
  <c r="Z1209" i="1"/>
  <c r="Y1210" i="1"/>
  <c r="Z1210" i="1"/>
  <c r="X1211" i="1"/>
  <c r="Y1211" i="1"/>
  <c r="Z1211" i="1"/>
  <c r="X1212" i="1"/>
  <c r="Y1212" i="1"/>
  <c r="Z1212" i="1"/>
  <c r="X1213" i="1"/>
  <c r="Y1213" i="1"/>
  <c r="Z1213" i="1"/>
  <c r="X1214" i="1"/>
  <c r="Y1214" i="1"/>
  <c r="Z1214" i="1"/>
  <c r="X1215" i="1"/>
  <c r="Y1215" i="1"/>
  <c r="Z1215" i="1"/>
  <c r="X1216" i="1"/>
  <c r="Y1216" i="1"/>
  <c r="Z1216" i="1"/>
  <c r="X1217" i="1"/>
  <c r="Y1217" i="1"/>
  <c r="Z1217" i="1"/>
  <c r="Y1218" i="1"/>
  <c r="Z1218" i="1"/>
  <c r="Y1219" i="1"/>
  <c r="Z1219" i="1"/>
  <c r="X1220" i="1"/>
  <c r="Y1220" i="1"/>
  <c r="Z1220" i="1"/>
  <c r="X1221" i="1"/>
  <c r="Y1221" i="1"/>
  <c r="Z1221" i="1"/>
  <c r="X1222" i="1"/>
  <c r="Y1222" i="1"/>
  <c r="Z1222" i="1"/>
  <c r="Y1223" i="1"/>
  <c r="Z1223" i="1"/>
  <c r="X1224" i="1"/>
  <c r="Y1224" i="1"/>
  <c r="Z1224" i="1"/>
  <c r="X1225" i="1"/>
  <c r="Y1225" i="1"/>
  <c r="Z1225" i="1"/>
  <c r="Y1226" i="1"/>
  <c r="Z1226" i="1"/>
  <c r="Y1227" i="1"/>
  <c r="Z1227" i="1"/>
  <c r="X1228" i="1"/>
  <c r="Y1228" i="1"/>
  <c r="Z1228" i="1"/>
  <c r="X1229" i="1"/>
  <c r="Y1229" i="1"/>
  <c r="Z1229" i="1"/>
  <c r="Y1230" i="1"/>
  <c r="Z1230" i="1"/>
  <c r="Y1231" i="1"/>
  <c r="Z1231" i="1"/>
  <c r="X1232" i="1"/>
  <c r="Y1232" i="1"/>
  <c r="Z1232" i="1"/>
  <c r="X1233" i="1"/>
  <c r="Y1233" i="1"/>
  <c r="Z1233" i="1"/>
  <c r="Y1234" i="1"/>
  <c r="Z1234" i="1"/>
  <c r="X1235" i="1"/>
  <c r="Y1235" i="1"/>
  <c r="Z1235" i="1"/>
  <c r="Y1236" i="1"/>
  <c r="Z1236" i="1"/>
  <c r="Y1237" i="1"/>
  <c r="Z1237" i="1"/>
  <c r="Y1238" i="1"/>
  <c r="Z1238" i="1"/>
  <c r="Y1239" i="1"/>
  <c r="Z1239" i="1"/>
  <c r="Y1240" i="1"/>
  <c r="Z1240" i="1"/>
  <c r="Y1241" i="1"/>
  <c r="Z1241" i="1"/>
  <c r="Y1242" i="1"/>
  <c r="Z1242" i="1"/>
  <c r="Y1243" i="1"/>
  <c r="Z1243" i="1"/>
  <c r="Y1244" i="1"/>
  <c r="Z1244" i="1"/>
  <c r="Y1245" i="1"/>
  <c r="Z1245" i="1"/>
  <c r="Y1246" i="1"/>
  <c r="Z1246" i="1"/>
  <c r="Y1247" i="1"/>
  <c r="Z1247" i="1"/>
  <c r="Y1248" i="1"/>
  <c r="Z1248" i="1"/>
  <c r="Y1249" i="1"/>
  <c r="Z1249" i="1"/>
  <c r="Y1250" i="1"/>
  <c r="Z1250" i="1"/>
  <c r="Y1251" i="1"/>
  <c r="Z1251" i="1"/>
  <c r="Y1252" i="1"/>
  <c r="Z1252" i="1"/>
  <c r="Y1253" i="1"/>
  <c r="Z1253" i="1"/>
  <c r="Y1254" i="1"/>
  <c r="Z1254" i="1"/>
  <c r="Y1255" i="1"/>
  <c r="Z1255" i="1"/>
  <c r="Y1256" i="1"/>
  <c r="Z1256" i="1"/>
  <c r="X1257" i="1"/>
  <c r="Y1257" i="1"/>
  <c r="Z1257" i="1"/>
  <c r="Y1258" i="1"/>
  <c r="Z1258" i="1"/>
  <c r="Y1259" i="1"/>
  <c r="Z1259" i="1"/>
  <c r="X1260" i="1"/>
  <c r="Y1260" i="1"/>
  <c r="Z1260" i="1"/>
  <c r="Y1261" i="1"/>
  <c r="Z1261" i="1"/>
  <c r="Y1262" i="1"/>
  <c r="Z1262" i="1"/>
  <c r="Y1263" i="1"/>
  <c r="Z1263" i="1"/>
  <c r="Y1264" i="1"/>
  <c r="Z1264" i="1"/>
  <c r="X1265" i="1"/>
  <c r="Y1265" i="1"/>
  <c r="Z1265" i="1"/>
  <c r="Y1266" i="1"/>
  <c r="Z1266" i="1"/>
  <c r="Y1267" i="1"/>
  <c r="Z1267" i="1"/>
  <c r="Y1268" i="1"/>
  <c r="Z1268" i="1"/>
  <c r="X1269" i="1"/>
  <c r="Y1269" i="1"/>
  <c r="Z1269" i="1"/>
  <c r="X1270" i="1"/>
  <c r="Y1270" i="1"/>
  <c r="Z1270" i="1"/>
  <c r="X1271" i="1"/>
  <c r="Y1271" i="1"/>
  <c r="Z1271" i="1"/>
  <c r="X1272" i="1"/>
  <c r="Y1272" i="1"/>
  <c r="Z1272" i="1"/>
  <c r="X1273" i="1"/>
  <c r="Y1273" i="1"/>
  <c r="Z1273" i="1"/>
  <c r="X1274" i="1"/>
  <c r="Y1274" i="1"/>
  <c r="Z1274" i="1"/>
  <c r="X1275" i="1"/>
  <c r="Y1275" i="1"/>
  <c r="Z1275" i="1"/>
  <c r="X1276" i="1"/>
  <c r="Y1276" i="1"/>
  <c r="Z1276" i="1"/>
  <c r="X1277" i="1"/>
  <c r="Y1277" i="1"/>
  <c r="Z1277" i="1"/>
  <c r="X1278" i="1"/>
  <c r="Y1278" i="1"/>
  <c r="Z1278" i="1"/>
  <c r="X1279" i="1"/>
  <c r="Y1279" i="1"/>
  <c r="Z1279" i="1"/>
  <c r="X1280" i="1"/>
  <c r="Y1280" i="1"/>
  <c r="Z1280" i="1"/>
  <c r="X1281" i="1"/>
  <c r="Y1281" i="1"/>
  <c r="Z1281" i="1"/>
  <c r="X1282" i="1"/>
  <c r="Y1282" i="1"/>
  <c r="Z1282" i="1"/>
  <c r="X1283" i="1"/>
  <c r="Y1283" i="1"/>
  <c r="Z1283" i="1"/>
  <c r="X1284" i="1"/>
  <c r="Y1284" i="1"/>
  <c r="Z1284" i="1"/>
  <c r="Y1285" i="1"/>
  <c r="Z1285" i="1"/>
  <c r="X1286" i="1"/>
  <c r="Y1286" i="1"/>
  <c r="Z1286" i="1"/>
  <c r="X1287" i="1"/>
  <c r="Y1287" i="1"/>
  <c r="Z1287" i="1"/>
  <c r="X1288" i="1"/>
  <c r="Y1288" i="1"/>
  <c r="Z1288" i="1"/>
  <c r="X1289" i="1"/>
  <c r="Y1289" i="1"/>
  <c r="Z1289" i="1"/>
  <c r="Y1290" i="1"/>
  <c r="Z1290" i="1"/>
  <c r="X1291" i="1"/>
  <c r="Y1291" i="1"/>
  <c r="Z1291" i="1"/>
  <c r="X1292" i="1"/>
  <c r="Y1292" i="1"/>
  <c r="Z1292" i="1"/>
  <c r="X1293" i="1"/>
  <c r="Y1293" i="1"/>
  <c r="Z1293" i="1"/>
  <c r="X1294" i="1"/>
  <c r="Y1294" i="1"/>
  <c r="Z1294" i="1"/>
  <c r="X1295" i="1"/>
  <c r="Y1295" i="1"/>
  <c r="Z1295" i="1"/>
  <c r="X1296" i="1"/>
  <c r="Y1296" i="1"/>
  <c r="Z1296" i="1"/>
  <c r="X1297" i="1"/>
  <c r="Y1297" i="1"/>
  <c r="Z1297" i="1"/>
  <c r="X1298" i="1"/>
  <c r="Y1298" i="1"/>
  <c r="Z1298" i="1"/>
  <c r="Y1299" i="1"/>
  <c r="Z1299" i="1"/>
  <c r="Y1300" i="1"/>
  <c r="Z1300" i="1"/>
  <c r="X1301" i="1"/>
  <c r="Y1301" i="1"/>
  <c r="Z1301" i="1"/>
  <c r="X1302" i="1"/>
  <c r="Y1302" i="1"/>
  <c r="Z1302" i="1"/>
  <c r="Y1303" i="1"/>
  <c r="Z1303" i="1"/>
  <c r="Y1304" i="1"/>
  <c r="Z1304" i="1"/>
  <c r="Y1305" i="1"/>
  <c r="Z1305" i="1"/>
  <c r="Y1306" i="1"/>
  <c r="Z1306" i="1"/>
  <c r="Y1307" i="1"/>
  <c r="Z1307" i="1"/>
  <c r="Y1308" i="1"/>
  <c r="Z1308" i="1"/>
  <c r="Y1309" i="1"/>
  <c r="Z1309" i="1"/>
  <c r="Y1310" i="1"/>
  <c r="Z1310" i="1"/>
  <c r="Y1311" i="1"/>
  <c r="Z1311" i="1"/>
  <c r="Y1312" i="1"/>
  <c r="Z1312" i="1"/>
  <c r="Y1313" i="1"/>
  <c r="Z1313" i="1"/>
  <c r="Y1314" i="1"/>
  <c r="Z1314" i="1"/>
  <c r="Y1315" i="1"/>
  <c r="Z1315" i="1"/>
  <c r="Y1316" i="1"/>
  <c r="Z1316" i="1"/>
  <c r="Y1317" i="1"/>
  <c r="Z1317" i="1"/>
  <c r="Y1318" i="1"/>
  <c r="Z1318" i="1"/>
  <c r="Y1319" i="1"/>
  <c r="Z1319" i="1"/>
  <c r="X1320" i="1"/>
  <c r="Y1320" i="1"/>
  <c r="Z1320" i="1"/>
  <c r="Y1321" i="1"/>
  <c r="Z1321" i="1"/>
  <c r="Y1322" i="1"/>
  <c r="Z1322" i="1"/>
  <c r="Y1323" i="1"/>
  <c r="Z1323" i="1"/>
  <c r="Y1324" i="1"/>
  <c r="Z1324" i="1"/>
  <c r="Y1325" i="1"/>
  <c r="Z1325" i="1"/>
  <c r="Y1326" i="1"/>
  <c r="Z1326" i="1"/>
  <c r="Y1327" i="1"/>
  <c r="Z1327" i="1"/>
  <c r="Y1328" i="1"/>
  <c r="Z1328" i="1"/>
  <c r="Y1329" i="1"/>
  <c r="Z1329" i="1"/>
  <c r="Y1330" i="1"/>
  <c r="Z1330" i="1"/>
  <c r="Y1331" i="1"/>
  <c r="Z1331" i="1"/>
  <c r="Y1332" i="1"/>
  <c r="Z1332" i="1"/>
  <c r="X1333" i="1"/>
  <c r="Y1333" i="1"/>
  <c r="Z1333" i="1"/>
  <c r="Y1334" i="1"/>
  <c r="Z1334" i="1"/>
  <c r="Y1335" i="1"/>
  <c r="Z1335" i="1"/>
  <c r="Y1336" i="1"/>
  <c r="Z1336" i="1"/>
  <c r="Y1337" i="1"/>
  <c r="Z1337" i="1"/>
  <c r="Y1338" i="1"/>
  <c r="Z1338" i="1"/>
  <c r="Y1339" i="1"/>
  <c r="Z1339" i="1"/>
  <c r="Y1340" i="1"/>
  <c r="Z1340" i="1"/>
  <c r="Y1341" i="1"/>
  <c r="Z1341" i="1"/>
  <c r="Y1342" i="1"/>
  <c r="Z1342" i="1"/>
  <c r="Y1343" i="1"/>
  <c r="Z1343" i="1"/>
  <c r="Y1344" i="1"/>
  <c r="Z1344" i="1"/>
  <c r="Y1345" i="1"/>
  <c r="Z1345" i="1"/>
  <c r="Y1346" i="1"/>
  <c r="Z1346" i="1"/>
  <c r="Y1347" i="1"/>
  <c r="Z1347" i="1"/>
  <c r="Y1348" i="1"/>
  <c r="Z1348" i="1"/>
  <c r="Y1349" i="1"/>
  <c r="Z1349" i="1"/>
  <c r="Y1350" i="1"/>
  <c r="Z1350" i="1"/>
  <c r="Y1351" i="1"/>
  <c r="Z1351" i="1"/>
  <c r="Y1352" i="1"/>
  <c r="Z1352" i="1"/>
  <c r="Y1353" i="1"/>
  <c r="Z1353" i="1"/>
  <c r="Y1354" i="1"/>
  <c r="Z1354" i="1"/>
  <c r="Y1355" i="1"/>
  <c r="Z1355" i="1"/>
  <c r="Y1356" i="1"/>
  <c r="Z1356" i="1"/>
  <c r="Y1357" i="1"/>
  <c r="Z1357" i="1"/>
  <c r="Y1358" i="1"/>
  <c r="Z1358" i="1"/>
  <c r="Y1359" i="1"/>
  <c r="Z1359" i="1"/>
  <c r="Y1360" i="1"/>
  <c r="Z1360" i="1"/>
  <c r="Y1361" i="1"/>
  <c r="Z1361" i="1"/>
  <c r="Y1362" i="1"/>
  <c r="Z1362" i="1"/>
  <c r="Y1363" i="1"/>
  <c r="Z1363" i="1"/>
  <c r="Y1364" i="1"/>
  <c r="Z1364" i="1"/>
  <c r="Y1365" i="1"/>
  <c r="Z1365" i="1"/>
  <c r="Y1366" i="1"/>
  <c r="Z1366" i="1"/>
  <c r="Y1367" i="1"/>
  <c r="Z1367" i="1"/>
  <c r="Y1368" i="1"/>
  <c r="Z1368" i="1"/>
  <c r="Y1369" i="1"/>
  <c r="Z1369" i="1"/>
  <c r="Y1370" i="1"/>
  <c r="Z1370" i="1"/>
  <c r="Y1371" i="1"/>
  <c r="Z1371" i="1"/>
  <c r="Y1372" i="1"/>
  <c r="Z1372" i="1"/>
  <c r="Y1373" i="1"/>
  <c r="Z1373" i="1"/>
  <c r="Y1374" i="1"/>
  <c r="Z1374" i="1"/>
  <c r="Y1375" i="1"/>
  <c r="Z1375" i="1"/>
  <c r="Y1376" i="1"/>
  <c r="Z1376" i="1"/>
  <c r="Y1377" i="1"/>
  <c r="Z1377" i="1"/>
  <c r="Y1378" i="1"/>
  <c r="Z1378" i="1"/>
  <c r="Y1379" i="1"/>
  <c r="Z1379" i="1"/>
  <c r="Y1380" i="1"/>
  <c r="Z1380" i="1"/>
  <c r="Y1381" i="1"/>
  <c r="Z1381" i="1"/>
  <c r="Y1382" i="1"/>
  <c r="Z1382" i="1"/>
  <c r="Y1383" i="1"/>
  <c r="Z1383" i="1"/>
  <c r="Y1384" i="1"/>
  <c r="Z1384" i="1"/>
  <c r="Y1385" i="1"/>
  <c r="Z1385" i="1"/>
  <c r="Y1386" i="1"/>
  <c r="Z1386" i="1"/>
  <c r="Y1387" i="1"/>
  <c r="Z1387" i="1"/>
  <c r="Y1388" i="1"/>
  <c r="Z1388" i="1"/>
  <c r="Y1389" i="1"/>
  <c r="Z1389" i="1"/>
  <c r="Y1390" i="1"/>
  <c r="Z1390" i="1"/>
  <c r="Y1391" i="1"/>
  <c r="Z1391" i="1"/>
  <c r="Y1392" i="1"/>
  <c r="Z1392" i="1"/>
  <c r="Y1393" i="1"/>
  <c r="Z1393" i="1"/>
  <c r="Y1394" i="1"/>
  <c r="Z1394" i="1"/>
  <c r="Y1395" i="1"/>
  <c r="Z1395" i="1"/>
  <c r="Y1396" i="1"/>
  <c r="Z1396" i="1"/>
  <c r="Y1397" i="1"/>
  <c r="Z1397" i="1"/>
  <c r="Y1398" i="1"/>
  <c r="Z1398" i="1"/>
  <c r="Y1399" i="1"/>
  <c r="Z1399" i="1"/>
  <c r="Y1400" i="1"/>
  <c r="Z1400" i="1"/>
  <c r="Y1401" i="1"/>
  <c r="Z1401" i="1"/>
  <c r="Y1402" i="1"/>
  <c r="Z1402" i="1"/>
  <c r="Y1403" i="1"/>
  <c r="Z1403" i="1"/>
  <c r="Y1404" i="1"/>
  <c r="Z1404" i="1"/>
  <c r="Y1405" i="1"/>
  <c r="Z1405" i="1"/>
  <c r="Y1406" i="1"/>
  <c r="Z1406" i="1"/>
  <c r="Y1407" i="1"/>
  <c r="Z1407" i="1"/>
  <c r="Y1408" i="1"/>
  <c r="Z1408" i="1"/>
  <c r="Y1409" i="1"/>
  <c r="Z1409" i="1"/>
  <c r="Y1410" i="1"/>
  <c r="Z1410" i="1"/>
  <c r="Y1411" i="1"/>
  <c r="Z1411" i="1"/>
  <c r="Y1412" i="1"/>
  <c r="Z1412" i="1"/>
  <c r="Y1413" i="1"/>
  <c r="Z1413" i="1"/>
  <c r="Y1414" i="1"/>
  <c r="Z1414" i="1"/>
  <c r="Y1415" i="1"/>
  <c r="Z1415" i="1"/>
  <c r="Y1416" i="1"/>
  <c r="Z1416" i="1"/>
  <c r="Y1417" i="1"/>
  <c r="Z1417" i="1"/>
  <c r="Y1418" i="1"/>
  <c r="Z1418" i="1"/>
  <c r="Y1419" i="1"/>
  <c r="Z1419" i="1"/>
  <c r="Y1420" i="1"/>
  <c r="Z1420" i="1"/>
  <c r="Y1421" i="1"/>
  <c r="Z1421" i="1"/>
  <c r="Y1422" i="1"/>
  <c r="Z1422" i="1"/>
  <c r="Y1423" i="1"/>
  <c r="Z1423" i="1"/>
  <c r="Y1424" i="1"/>
  <c r="Z1424" i="1"/>
  <c r="Y1425" i="1"/>
  <c r="Z1425" i="1"/>
  <c r="Y1426" i="1"/>
  <c r="Z1426" i="1"/>
  <c r="Y1427" i="1"/>
  <c r="Z1427" i="1"/>
  <c r="Y1428" i="1"/>
  <c r="Z1428" i="1"/>
  <c r="Y1429" i="1"/>
  <c r="Z1429" i="1"/>
  <c r="Y1430" i="1"/>
  <c r="Z1430" i="1"/>
  <c r="Y1431" i="1"/>
  <c r="Z1431" i="1"/>
  <c r="Y1432" i="1"/>
  <c r="Z1432" i="1"/>
  <c r="Y1433" i="1"/>
  <c r="Z1433" i="1"/>
  <c r="Y1434" i="1"/>
  <c r="Z1434" i="1"/>
  <c r="Y1435" i="1"/>
  <c r="Z1435" i="1"/>
  <c r="Y1436" i="1"/>
  <c r="Z1436" i="1"/>
  <c r="Y1437" i="1"/>
  <c r="Z1437" i="1"/>
  <c r="Y1438" i="1"/>
  <c r="Z1438" i="1"/>
  <c r="Y1439" i="1"/>
  <c r="Z1439" i="1"/>
  <c r="Y1440" i="1"/>
  <c r="Z1440" i="1"/>
  <c r="Y1441" i="1"/>
  <c r="Z1441" i="1"/>
  <c r="Y1442" i="1"/>
  <c r="Z1442" i="1"/>
  <c r="Y1443" i="1"/>
  <c r="Z1443" i="1"/>
  <c r="Y1444" i="1"/>
  <c r="Z1444" i="1"/>
  <c r="Y1445" i="1"/>
  <c r="Z1445" i="1"/>
  <c r="Y1446" i="1"/>
  <c r="Z1446" i="1"/>
  <c r="Y1447" i="1"/>
  <c r="Z1447" i="1"/>
  <c r="Y1448" i="1"/>
  <c r="Z1448" i="1"/>
  <c r="Y1449" i="1"/>
  <c r="Z1449" i="1"/>
  <c r="Y1450" i="1"/>
  <c r="Z1450" i="1"/>
  <c r="Y1451" i="1"/>
  <c r="Z1451" i="1"/>
  <c r="Y1452" i="1"/>
  <c r="Z1452" i="1"/>
  <c r="Y1453" i="1"/>
  <c r="Z1453" i="1"/>
  <c r="Y1454" i="1"/>
  <c r="Z1454" i="1"/>
  <c r="Y1455" i="1"/>
  <c r="Z1455" i="1"/>
  <c r="Y1456" i="1"/>
  <c r="Z1456" i="1"/>
  <c r="Y1457" i="1"/>
  <c r="Z1457" i="1"/>
  <c r="Y1458" i="1"/>
  <c r="Z1458" i="1"/>
  <c r="Y1459" i="1"/>
  <c r="Z1459" i="1"/>
  <c r="Y1460" i="1"/>
  <c r="Z1460" i="1"/>
  <c r="Y1461" i="1"/>
  <c r="Z1461" i="1"/>
  <c r="Y1462" i="1"/>
  <c r="Z1462" i="1"/>
  <c r="Y1463" i="1"/>
  <c r="Z1463" i="1"/>
  <c r="Y1464" i="1"/>
  <c r="Z1464" i="1"/>
  <c r="Y1465" i="1"/>
  <c r="Z1465" i="1"/>
  <c r="Y1466" i="1"/>
  <c r="Z1466" i="1"/>
  <c r="Y1467" i="1"/>
  <c r="Z1467" i="1"/>
  <c r="Y1468" i="1"/>
  <c r="Z1468" i="1"/>
  <c r="Y1469" i="1"/>
  <c r="Z1469" i="1"/>
  <c r="Y1470" i="1"/>
  <c r="Z1470" i="1"/>
  <c r="Y1471" i="1"/>
  <c r="Z1471" i="1"/>
  <c r="Y1472" i="1"/>
  <c r="Z1472" i="1"/>
  <c r="Y1473" i="1"/>
  <c r="Z1473" i="1"/>
  <c r="Y1474" i="1"/>
  <c r="Z1474" i="1"/>
  <c r="Y1475" i="1"/>
  <c r="Z1475" i="1"/>
  <c r="Y1476" i="1"/>
  <c r="Z1476" i="1"/>
  <c r="Y1477" i="1"/>
  <c r="Z1477" i="1"/>
  <c r="Y1478" i="1"/>
  <c r="Z1478" i="1"/>
  <c r="Y1479" i="1"/>
  <c r="Z1479" i="1"/>
  <c r="Y1480" i="1"/>
  <c r="Z1480" i="1"/>
  <c r="Y1481" i="1"/>
  <c r="Z1481" i="1"/>
  <c r="Y1482" i="1"/>
  <c r="Z1482" i="1"/>
  <c r="Y1483" i="1"/>
  <c r="Z1483" i="1"/>
  <c r="Y1484" i="1"/>
  <c r="Z1484" i="1"/>
  <c r="Y1485" i="1"/>
  <c r="Z1485" i="1"/>
  <c r="Y1486" i="1"/>
  <c r="Z1486" i="1"/>
  <c r="Y1487" i="1"/>
  <c r="Z1487" i="1"/>
  <c r="Y1488" i="1"/>
  <c r="Z1488" i="1"/>
  <c r="Y1489" i="1"/>
  <c r="Z1489" i="1"/>
  <c r="Y1490" i="1"/>
  <c r="Z1490" i="1"/>
  <c r="Y1491" i="1"/>
  <c r="Z1491" i="1"/>
  <c r="Y1492" i="1"/>
  <c r="Z1492" i="1"/>
  <c r="Y1493" i="1"/>
  <c r="Z1493" i="1"/>
  <c r="Y1494" i="1"/>
  <c r="Z1494" i="1"/>
  <c r="Y1495" i="1"/>
  <c r="Z1495" i="1"/>
  <c r="Y1496" i="1"/>
  <c r="Z1496" i="1"/>
  <c r="Y1497" i="1"/>
  <c r="Z1497" i="1"/>
  <c r="Y1498" i="1"/>
  <c r="Z1498" i="1"/>
  <c r="Y1499" i="1"/>
  <c r="Z1499" i="1"/>
  <c r="Y1500" i="1"/>
  <c r="Z1500" i="1"/>
  <c r="Y1501" i="1"/>
  <c r="Z1501" i="1"/>
  <c r="Y1502" i="1"/>
  <c r="Z1502" i="1"/>
  <c r="Y1503" i="1"/>
  <c r="Z1503" i="1"/>
  <c r="Y1504" i="1"/>
  <c r="Z1504" i="1"/>
  <c r="Y1505" i="1"/>
  <c r="Z1505" i="1"/>
  <c r="Y1506" i="1"/>
  <c r="Z1506" i="1"/>
  <c r="X1507" i="1"/>
  <c r="Y1507" i="1"/>
  <c r="Z1507" i="1"/>
  <c r="Y1508" i="1"/>
  <c r="Z1508" i="1"/>
  <c r="Y1509" i="1"/>
  <c r="Z1509" i="1"/>
  <c r="Y1510" i="1"/>
  <c r="Z1510" i="1"/>
  <c r="Y1552" i="1"/>
  <c r="Z1552" i="1"/>
  <c r="Y1553" i="1"/>
  <c r="Z1553" i="1"/>
  <c r="Y1554" i="1"/>
  <c r="Z1554" i="1"/>
  <c r="Y1555" i="1"/>
  <c r="Z1555" i="1"/>
  <c r="Y1556" i="1"/>
  <c r="Z1556" i="1"/>
  <c r="Y1557" i="1"/>
  <c r="Z1557" i="1"/>
  <c r="Y1558" i="1"/>
  <c r="Z1558" i="1"/>
  <c r="Y1559" i="1"/>
  <c r="Z1559" i="1"/>
  <c r="Y1560" i="1"/>
  <c r="Z1560" i="1"/>
  <c r="Y1561" i="1"/>
  <c r="Z1561" i="1"/>
  <c r="Y1562" i="1"/>
  <c r="Z1562" i="1"/>
  <c r="Y1563" i="1"/>
  <c r="Z1563" i="1"/>
  <c r="Y1564" i="1"/>
  <c r="Z1564" i="1"/>
  <c r="Y1565" i="1"/>
  <c r="Z1565" i="1"/>
  <c r="Y1566" i="1"/>
  <c r="Z1566" i="1"/>
  <c r="Y1567" i="1"/>
  <c r="Z1567" i="1"/>
  <c r="Y1568" i="1"/>
  <c r="Z1568" i="1"/>
  <c r="Z7" i="1"/>
  <c r="Y7" i="1"/>
  <c r="Y15" i="8"/>
  <c r="AI291" i="10"/>
  <c r="K55" i="12"/>
  <c r="M55" i="12"/>
  <c r="K53" i="12"/>
  <c r="M53" i="12"/>
  <c r="K51" i="12"/>
  <c r="M51" i="12"/>
  <c r="K48" i="12"/>
  <c r="M48" i="12"/>
  <c r="K45" i="12"/>
  <c r="M45" i="12"/>
  <c r="N45" i="12"/>
  <c r="K43" i="12"/>
  <c r="M43" i="12"/>
  <c r="K42" i="12"/>
  <c r="M42" i="12"/>
  <c r="N42" i="12"/>
  <c r="K41" i="12"/>
  <c r="M41" i="12"/>
  <c r="K40" i="12"/>
  <c r="M40" i="12"/>
  <c r="K39" i="12"/>
  <c r="M39" i="12"/>
  <c r="K36" i="12"/>
  <c r="M36" i="12"/>
  <c r="K35" i="12"/>
  <c r="M35" i="12"/>
  <c r="K34" i="12"/>
  <c r="M34" i="12"/>
  <c r="K33" i="12"/>
  <c r="M33" i="12"/>
  <c r="K83" i="12"/>
  <c r="M83" i="12"/>
  <c r="K81" i="12"/>
  <c r="M81" i="12"/>
  <c r="K79" i="12"/>
  <c r="M79" i="12"/>
  <c r="K76" i="12"/>
  <c r="M76" i="12"/>
  <c r="K73" i="12"/>
  <c r="M73" i="12"/>
  <c r="K71" i="12"/>
  <c r="M71" i="12"/>
  <c r="K70" i="12"/>
  <c r="M70" i="12"/>
  <c r="K69" i="12"/>
  <c r="M69" i="12"/>
  <c r="K68" i="12"/>
  <c r="M68" i="12"/>
  <c r="N68" i="12"/>
  <c r="K67" i="12"/>
  <c r="M67" i="12"/>
  <c r="K64" i="12"/>
  <c r="M64" i="12"/>
  <c r="K63" i="12"/>
  <c r="M63" i="12"/>
  <c r="N63" i="12"/>
  <c r="K62" i="12"/>
  <c r="M62" i="12"/>
  <c r="K61" i="12"/>
  <c r="M61" i="12"/>
  <c r="K223" i="12"/>
  <c r="J83" i="12"/>
  <c r="K222" i="12"/>
  <c r="J81" i="12"/>
  <c r="K196" i="12"/>
  <c r="J55" i="12"/>
  <c r="K195" i="12"/>
  <c r="J53" i="12"/>
  <c r="N53" i="12"/>
  <c r="K215" i="12"/>
  <c r="J73" i="12"/>
  <c r="K188" i="12"/>
  <c r="J45" i="12"/>
  <c r="L27" i="12"/>
  <c r="N27" i="12"/>
  <c r="K169" i="12"/>
  <c r="J27" i="12"/>
  <c r="K168" i="12"/>
  <c r="J25" i="12"/>
  <c r="N25" i="12"/>
  <c r="L17" i="12"/>
  <c r="K203" i="12"/>
  <c r="J62" i="12"/>
  <c r="K204" i="12"/>
  <c r="J63" i="12"/>
  <c r="K205" i="12"/>
  <c r="J64" i="12"/>
  <c r="K207" i="12"/>
  <c r="J65" i="12"/>
  <c r="M65" i="12"/>
  <c r="K209" i="12"/>
  <c r="J67" i="12"/>
  <c r="K210" i="12"/>
  <c r="J68" i="12"/>
  <c r="K211" i="12"/>
  <c r="J69" i="12"/>
  <c r="K212" i="12"/>
  <c r="J70" i="12"/>
  <c r="K213" i="12"/>
  <c r="J71" i="12"/>
  <c r="N71" i="12"/>
  <c r="K214" i="12"/>
  <c r="J72" i="12"/>
  <c r="M72" i="12"/>
  <c r="K218" i="12"/>
  <c r="J76" i="12"/>
  <c r="K219" i="12"/>
  <c r="J77" i="12"/>
  <c r="M77" i="12"/>
  <c r="N77" i="12"/>
  <c r="K220" i="12"/>
  <c r="J82" i="12"/>
  <c r="M82" i="12"/>
  <c r="K221" i="12"/>
  <c r="J79" i="12"/>
  <c r="K202" i="12"/>
  <c r="J61" i="12"/>
  <c r="K176" i="12"/>
  <c r="J34" i="12"/>
  <c r="K177" i="12"/>
  <c r="J35" i="12"/>
  <c r="K178" i="12"/>
  <c r="J36" i="12"/>
  <c r="N36" i="12"/>
  <c r="K180" i="12"/>
  <c r="J37" i="12"/>
  <c r="M37" i="12"/>
  <c r="N37" i="12"/>
  <c r="K182" i="12"/>
  <c r="J39" i="12"/>
  <c r="K183" i="12"/>
  <c r="J40" i="12"/>
  <c r="K184" i="12"/>
  <c r="J41" i="12"/>
  <c r="K185" i="12"/>
  <c r="J42" i="12"/>
  <c r="K186" i="12"/>
  <c r="J43" i="12"/>
  <c r="K187" i="12"/>
  <c r="J44" i="12"/>
  <c r="M44" i="12"/>
  <c r="K191" i="12"/>
  <c r="J48" i="12"/>
  <c r="K192" i="12"/>
  <c r="J49" i="12"/>
  <c r="M49" i="12"/>
  <c r="K193" i="12"/>
  <c r="J54" i="12"/>
  <c r="M54" i="12"/>
  <c r="N54" i="12"/>
  <c r="K194" i="12"/>
  <c r="J51" i="12"/>
  <c r="K175" i="12"/>
  <c r="J33" i="12"/>
  <c r="L13" i="12"/>
  <c r="L23" i="12"/>
  <c r="N23" i="12"/>
  <c r="L20" i="12"/>
  <c r="N20" i="12"/>
  <c r="L15" i="12"/>
  <c r="L14" i="12"/>
  <c r="L12" i="12"/>
  <c r="L11" i="12"/>
  <c r="L8" i="12"/>
  <c r="L7" i="12"/>
  <c r="L6" i="12"/>
  <c r="K149" i="12"/>
  <c r="J6" i="12"/>
  <c r="K151" i="12"/>
  <c r="J8" i="12"/>
  <c r="K153" i="12"/>
  <c r="J9" i="12"/>
  <c r="N9" i="12"/>
  <c r="K156" i="12"/>
  <c r="J12" i="12"/>
  <c r="K157" i="12"/>
  <c r="J13" i="12"/>
  <c r="K158" i="12"/>
  <c r="J14" i="12"/>
  <c r="K159" i="12"/>
  <c r="J15" i="12"/>
  <c r="K160" i="12"/>
  <c r="J16" i="12"/>
  <c r="K164" i="12"/>
  <c r="J20" i="12"/>
  <c r="K165" i="12"/>
  <c r="J21" i="12"/>
  <c r="N21" i="12"/>
  <c r="O21" i="12"/>
  <c r="K166" i="12"/>
  <c r="K167" i="12"/>
  <c r="J23" i="12"/>
  <c r="K148" i="12"/>
  <c r="J5" i="12"/>
  <c r="L5" i="12"/>
  <c r="K52" i="10"/>
  <c r="T2089" i="1"/>
  <c r="X2103" i="1"/>
  <c r="Y2103" i="1"/>
  <c r="X2240" i="1"/>
  <c r="Y2240" i="1"/>
  <c r="X2241" i="1"/>
  <c r="Y2241" i="1"/>
  <c r="X2242" i="1"/>
  <c r="Y2242" i="1"/>
  <c r="X2257" i="1"/>
  <c r="Y2257" i="1"/>
  <c r="X2243" i="1"/>
  <c r="Y2243" i="1"/>
  <c r="X2244" i="1"/>
  <c r="Y2244" i="1"/>
  <c r="X2245" i="1"/>
  <c r="Y2245" i="1"/>
  <c r="X2246" i="1"/>
  <c r="Y2246" i="1"/>
  <c r="X2247" i="1"/>
  <c r="Y2247" i="1"/>
  <c r="X2248" i="1"/>
  <c r="Y2248" i="1"/>
  <c r="X2249" i="1"/>
  <c r="Y2249" i="1"/>
  <c r="X2250" i="1"/>
  <c r="Y2250" i="1"/>
  <c r="X2253" i="1"/>
  <c r="Y2253" i="1"/>
  <c r="X2254" i="1"/>
  <c r="Y2254" i="1"/>
  <c r="X2255" i="1"/>
  <c r="Y2255" i="1"/>
  <c r="X2256" i="1"/>
  <c r="Y2256" i="1"/>
  <c r="Y2239" i="1"/>
  <c r="X2239" i="1"/>
  <c r="X2215" i="1"/>
  <c r="Y2215" i="1"/>
  <c r="X2216" i="1"/>
  <c r="Y2216" i="1"/>
  <c r="X2217" i="1"/>
  <c r="Y2217" i="1"/>
  <c r="X2232" i="1"/>
  <c r="Y2232" i="1"/>
  <c r="X2218" i="1"/>
  <c r="Y2218" i="1"/>
  <c r="X2219" i="1"/>
  <c r="Y2219" i="1"/>
  <c r="X2220" i="1"/>
  <c r="Y2220" i="1"/>
  <c r="X2221" i="1"/>
  <c r="Y2221" i="1"/>
  <c r="X2222" i="1"/>
  <c r="Y2222" i="1"/>
  <c r="X2223" i="1"/>
  <c r="Y2223" i="1"/>
  <c r="X2224" i="1"/>
  <c r="Y2224" i="1"/>
  <c r="X2225" i="1"/>
  <c r="Y2225" i="1"/>
  <c r="X2228" i="1"/>
  <c r="Y2228" i="1"/>
  <c r="X2229" i="1"/>
  <c r="Y2229" i="1"/>
  <c r="X2230" i="1"/>
  <c r="Y2230" i="1"/>
  <c r="X2231" i="1"/>
  <c r="Y2231" i="1"/>
  <c r="Y2214" i="1"/>
  <c r="X2214" i="1"/>
  <c r="X2190" i="1"/>
  <c r="Y2190" i="1"/>
  <c r="X2191" i="1"/>
  <c r="Y2191" i="1"/>
  <c r="X2207" i="1"/>
  <c r="Y2207" i="1"/>
  <c r="X2193" i="1"/>
  <c r="Y2193" i="1"/>
  <c r="X2194" i="1"/>
  <c r="Y2194" i="1"/>
  <c r="X2195" i="1"/>
  <c r="Y2195" i="1"/>
  <c r="X2196" i="1"/>
  <c r="Y2196" i="1"/>
  <c r="X2197" i="1"/>
  <c r="Y2197" i="1"/>
  <c r="X2198" i="1"/>
  <c r="Y2198" i="1"/>
  <c r="X2199" i="1"/>
  <c r="Y2199" i="1"/>
  <c r="X2200" i="1"/>
  <c r="Y2200" i="1"/>
  <c r="X2203" i="1"/>
  <c r="Y2203" i="1"/>
  <c r="X2204" i="1"/>
  <c r="Y2204" i="1"/>
  <c r="X2205" i="1"/>
  <c r="Y2205" i="1"/>
  <c r="X2206" i="1"/>
  <c r="Y2206" i="1"/>
  <c r="X2208" i="1"/>
  <c r="Y2208" i="1"/>
  <c r="X2210" i="1"/>
  <c r="Y2210" i="1"/>
  <c r="Y2189" i="1"/>
  <c r="X2189" i="1"/>
  <c r="X2165" i="1"/>
  <c r="Y2165" i="1"/>
  <c r="X2166" i="1"/>
  <c r="Y2166" i="1"/>
  <c r="X2167" i="1"/>
  <c r="Y2167" i="1"/>
  <c r="X2182" i="1"/>
  <c r="Y2182" i="1"/>
  <c r="X2168" i="1"/>
  <c r="Y2168" i="1"/>
  <c r="X2169" i="1"/>
  <c r="Y2169" i="1"/>
  <c r="X2170" i="1"/>
  <c r="Y2170" i="1"/>
  <c r="X2171" i="1"/>
  <c r="Y2171" i="1"/>
  <c r="X2172" i="1"/>
  <c r="Y2172" i="1"/>
  <c r="X2173" i="1"/>
  <c r="Y2173" i="1"/>
  <c r="X2174" i="1"/>
  <c r="Y2174" i="1"/>
  <c r="X2175" i="1"/>
  <c r="Y2175" i="1"/>
  <c r="X2178" i="1"/>
  <c r="Y2178" i="1"/>
  <c r="X2179" i="1"/>
  <c r="Y2179" i="1"/>
  <c r="X2180" i="1"/>
  <c r="Y2180" i="1"/>
  <c r="X2181" i="1"/>
  <c r="Y2181" i="1"/>
  <c r="X2183" i="1"/>
  <c r="Y2183" i="1"/>
  <c r="X2164" i="1"/>
  <c r="Y2164" i="1"/>
  <c r="X2140" i="1"/>
  <c r="Y2140" i="1"/>
  <c r="X2141" i="1"/>
  <c r="Y2141" i="1"/>
  <c r="X2142" i="1"/>
  <c r="Y2142" i="1"/>
  <c r="X2143" i="1"/>
  <c r="Y2143" i="1"/>
  <c r="X2144" i="1"/>
  <c r="Y2144" i="1"/>
  <c r="X2145" i="1"/>
  <c r="Y2145" i="1"/>
  <c r="X2146" i="1"/>
  <c r="Y2146" i="1"/>
  <c r="X2147" i="1"/>
  <c r="Y2147" i="1"/>
  <c r="X2148" i="1"/>
  <c r="Y2148" i="1"/>
  <c r="X2149" i="1"/>
  <c r="Y2149" i="1"/>
  <c r="X2150" i="1"/>
  <c r="Y2150" i="1"/>
  <c r="X2153" i="1"/>
  <c r="Y2153" i="1"/>
  <c r="X2154" i="1"/>
  <c r="Y2154" i="1"/>
  <c r="X2155" i="1"/>
  <c r="Y2155" i="1"/>
  <c r="X2156" i="1"/>
  <c r="Y2156" i="1"/>
  <c r="Y2139" i="1"/>
  <c r="X2139" i="1"/>
  <c r="X2115" i="1"/>
  <c r="Y2115" i="1"/>
  <c r="X2116" i="1"/>
  <c r="Y2116" i="1"/>
  <c r="X2132" i="1"/>
  <c r="Y2132" i="1"/>
  <c r="X2118" i="1"/>
  <c r="Y2118" i="1"/>
  <c r="X2119" i="1"/>
  <c r="Y2119" i="1"/>
  <c r="X2120" i="1"/>
  <c r="Y2120" i="1"/>
  <c r="X2121" i="1"/>
  <c r="Y2121" i="1"/>
  <c r="X2122" i="1"/>
  <c r="Y2122" i="1"/>
  <c r="X2123" i="1"/>
  <c r="Y2123" i="1"/>
  <c r="X2124" i="1"/>
  <c r="Y2124" i="1"/>
  <c r="X2125" i="1"/>
  <c r="Y2125" i="1"/>
  <c r="X2126" i="1"/>
  <c r="Y2126" i="1"/>
  <c r="X2128" i="1"/>
  <c r="Y2128" i="1"/>
  <c r="X2129" i="1"/>
  <c r="Y2129" i="1"/>
  <c r="X2130" i="1"/>
  <c r="Y2130" i="1"/>
  <c r="X2131" i="1"/>
  <c r="Y2131" i="1"/>
  <c r="Y2114" i="1"/>
  <c r="X2114" i="1"/>
  <c r="X2090" i="1"/>
  <c r="Y2090" i="1"/>
  <c r="X2091" i="1"/>
  <c r="X2107" i="1"/>
  <c r="Y2107" i="1"/>
  <c r="X2093" i="1"/>
  <c r="Y2093" i="1"/>
  <c r="X2094" i="1"/>
  <c r="Y2094" i="1"/>
  <c r="X2095" i="1"/>
  <c r="Y2095" i="1"/>
  <c r="X2096" i="1"/>
  <c r="Y2096" i="1"/>
  <c r="X2097" i="1"/>
  <c r="Y2097" i="1"/>
  <c r="X2098" i="1"/>
  <c r="Y2098" i="1"/>
  <c r="X2099" i="1"/>
  <c r="Y2099" i="1"/>
  <c r="X2100" i="1"/>
  <c r="Y2100" i="1"/>
  <c r="X2104" i="1"/>
  <c r="Y2104" i="1"/>
  <c r="X2105" i="1"/>
  <c r="Y2105" i="1"/>
  <c r="X2106" i="1"/>
  <c r="Y2106" i="1"/>
  <c r="Y2089" i="1"/>
  <c r="X2089" i="1"/>
  <c r="U2087" i="1"/>
  <c r="T2087" i="1"/>
  <c r="U2088" i="1"/>
  <c r="S2087" i="1"/>
  <c r="R2087" i="1"/>
  <c r="Q2087" i="1"/>
  <c r="U2089" i="1"/>
  <c r="B289" i="10"/>
  <c r="D289" i="10"/>
  <c r="F289" i="10"/>
  <c r="H289" i="10"/>
  <c r="J289" i="10"/>
  <c r="L289" i="10"/>
  <c r="Q2240" i="1"/>
  <c r="R2240" i="1"/>
  <c r="S2240" i="1"/>
  <c r="T2240" i="1"/>
  <c r="G191" i="11"/>
  <c r="U2240" i="1"/>
  <c r="Q2241" i="1"/>
  <c r="R2241" i="1"/>
  <c r="S2241" i="1"/>
  <c r="T2241" i="1"/>
  <c r="F192" i="11"/>
  <c r="I192" i="11"/>
  <c r="U2241" i="1"/>
  <c r="Q2242" i="1"/>
  <c r="R2242" i="1"/>
  <c r="S2242" i="1"/>
  <c r="T2242" i="1"/>
  <c r="G193" i="11"/>
  <c r="N193" i="11"/>
  <c r="O193" i="11"/>
  <c r="U2242" i="1"/>
  <c r="Q2257" i="1"/>
  <c r="Q2243" i="1"/>
  <c r="R2243" i="1"/>
  <c r="S2243" i="1"/>
  <c r="T2243" i="1"/>
  <c r="G194" i="11"/>
  <c r="U2243" i="1"/>
  <c r="Q2244" i="1"/>
  <c r="R2244" i="1"/>
  <c r="S2244" i="1"/>
  <c r="T2244" i="1"/>
  <c r="U2244" i="1"/>
  <c r="Q2245" i="1"/>
  <c r="R2245" i="1"/>
  <c r="S2245" i="1"/>
  <c r="T2245" i="1"/>
  <c r="F196" i="11"/>
  <c r="I196" i="11"/>
  <c r="U2245" i="1"/>
  <c r="Q2246" i="1"/>
  <c r="R2246" i="1"/>
  <c r="S2246" i="1"/>
  <c r="T2246" i="1"/>
  <c r="F197" i="11"/>
  <c r="I197" i="11"/>
  <c r="U2246" i="1"/>
  <c r="Q2247" i="1"/>
  <c r="R2247" i="1"/>
  <c r="S2247" i="1"/>
  <c r="T2247" i="1"/>
  <c r="G198" i="11"/>
  <c r="K198" i="11"/>
  <c r="L198" i="11"/>
  <c r="U2247" i="1"/>
  <c r="Q2248" i="1"/>
  <c r="R2248" i="1"/>
  <c r="S2248" i="1"/>
  <c r="T2248" i="1"/>
  <c r="F199" i="11"/>
  <c r="I199" i="11"/>
  <c r="U2248" i="1"/>
  <c r="Q2249" i="1"/>
  <c r="R2249" i="1"/>
  <c r="S2249" i="1"/>
  <c r="T2249" i="1"/>
  <c r="F200" i="11"/>
  <c r="I200" i="11"/>
  <c r="U2249" i="1"/>
  <c r="Q2250" i="1"/>
  <c r="R2250" i="1"/>
  <c r="S2250" i="1"/>
  <c r="T2250" i="1"/>
  <c r="G201" i="11"/>
  <c r="U2250" i="1"/>
  <c r="Q2253" i="1"/>
  <c r="R2253" i="1"/>
  <c r="S2253" i="1"/>
  <c r="T2253" i="1"/>
  <c r="G205" i="11"/>
  <c r="N205" i="11"/>
  <c r="O205" i="11"/>
  <c r="U2253" i="1"/>
  <c r="Q2254" i="1"/>
  <c r="R2254" i="1"/>
  <c r="S2254" i="1"/>
  <c r="T2254" i="1"/>
  <c r="U2254" i="1"/>
  <c r="Q2255" i="1"/>
  <c r="R2255" i="1"/>
  <c r="S2255" i="1"/>
  <c r="T2255" i="1"/>
  <c r="G207" i="11"/>
  <c r="K207" i="11"/>
  <c r="L207" i="11"/>
  <c r="U2255" i="1"/>
  <c r="R2256" i="1"/>
  <c r="S2256" i="1"/>
  <c r="T2256" i="1"/>
  <c r="F208" i="11"/>
  <c r="I208" i="11"/>
  <c r="U2256" i="1"/>
  <c r="U2239" i="1"/>
  <c r="T2239" i="1"/>
  <c r="S2239" i="1"/>
  <c r="R2239" i="1"/>
  <c r="Q2239" i="1"/>
  <c r="Q2215" i="1"/>
  <c r="R2215" i="1"/>
  <c r="S2215" i="1"/>
  <c r="T2215" i="1"/>
  <c r="G161" i="11"/>
  <c r="N161" i="11"/>
  <c r="O161" i="11"/>
  <c r="U2215" i="1"/>
  <c r="Q2216" i="1"/>
  <c r="R2216" i="1"/>
  <c r="S2216" i="1"/>
  <c r="T2216" i="1"/>
  <c r="G162" i="11"/>
  <c r="N162" i="11"/>
  <c r="O162" i="11"/>
  <c r="U2216" i="1"/>
  <c r="Q2217" i="1"/>
  <c r="R2217" i="1"/>
  <c r="S2217" i="1"/>
  <c r="T2217" i="1"/>
  <c r="G163" i="11"/>
  <c r="N163" i="11"/>
  <c r="O163" i="11"/>
  <c r="U2217" i="1"/>
  <c r="R2232" i="1"/>
  <c r="S2232" i="1"/>
  <c r="T2232" i="1"/>
  <c r="F179" i="11"/>
  <c r="I179" i="11"/>
  <c r="U2232" i="1"/>
  <c r="Q2218" i="1"/>
  <c r="R2218" i="1"/>
  <c r="S2218" i="1"/>
  <c r="T2218" i="1"/>
  <c r="G164" i="11"/>
  <c r="N164" i="11"/>
  <c r="O164" i="11"/>
  <c r="U2218" i="1"/>
  <c r="Q2219" i="1"/>
  <c r="R2219" i="1"/>
  <c r="S2219" i="1"/>
  <c r="T2219" i="1"/>
  <c r="G165" i="11"/>
  <c r="U2219" i="1"/>
  <c r="Q2220" i="1"/>
  <c r="R2220" i="1"/>
  <c r="S2220" i="1"/>
  <c r="T2220" i="1"/>
  <c r="F166" i="11"/>
  <c r="I166" i="11"/>
  <c r="U2220" i="1"/>
  <c r="Q2221" i="1"/>
  <c r="R2221" i="1"/>
  <c r="S2221" i="1"/>
  <c r="T2221" i="1"/>
  <c r="G167" i="11"/>
  <c r="K167" i="11"/>
  <c r="L167" i="11"/>
  <c r="U2221" i="1"/>
  <c r="Q2222" i="1"/>
  <c r="R2222" i="1"/>
  <c r="S2222" i="1"/>
  <c r="T2222" i="1"/>
  <c r="G168" i="11"/>
  <c r="N168" i="11"/>
  <c r="O168" i="11"/>
  <c r="U2222" i="1"/>
  <c r="Q2223" i="1"/>
  <c r="R2223" i="1"/>
  <c r="S2223" i="1"/>
  <c r="T2223" i="1"/>
  <c r="G169" i="11"/>
  <c r="U2223" i="1"/>
  <c r="Q2224" i="1"/>
  <c r="R2224" i="1"/>
  <c r="S2224" i="1"/>
  <c r="T2224" i="1"/>
  <c r="G170" i="11"/>
  <c r="N170" i="11"/>
  <c r="O170" i="11"/>
  <c r="U2224" i="1"/>
  <c r="Q2225" i="1"/>
  <c r="R2225" i="1"/>
  <c r="S2225" i="1"/>
  <c r="T2225" i="1"/>
  <c r="G171" i="11"/>
  <c r="K171" i="11"/>
  <c r="L171" i="11"/>
  <c r="U2225" i="1"/>
  <c r="Q2228" i="1"/>
  <c r="R2228" i="1"/>
  <c r="S2228" i="1"/>
  <c r="T2228" i="1"/>
  <c r="F175" i="11"/>
  <c r="I175" i="11"/>
  <c r="U2228" i="1"/>
  <c r="Q2229" i="1"/>
  <c r="R2229" i="1"/>
  <c r="S2229" i="1"/>
  <c r="T2229" i="1"/>
  <c r="G176" i="11"/>
  <c r="N176" i="11"/>
  <c r="O176" i="11"/>
  <c r="U2229" i="1"/>
  <c r="Q2230" i="1"/>
  <c r="R2230" i="1"/>
  <c r="S2230" i="1"/>
  <c r="T2230" i="1"/>
  <c r="F177" i="11"/>
  <c r="I177" i="11"/>
  <c r="U2230" i="1"/>
  <c r="Q2231" i="1"/>
  <c r="R2231" i="1"/>
  <c r="S2231" i="1"/>
  <c r="T2231" i="1"/>
  <c r="G178" i="11"/>
  <c r="N178" i="11"/>
  <c r="O178" i="11"/>
  <c r="U2231" i="1"/>
  <c r="U2214" i="1"/>
  <c r="T2214" i="1"/>
  <c r="G160" i="11"/>
  <c r="K160" i="11"/>
  <c r="L160" i="11"/>
  <c r="S2214" i="1"/>
  <c r="R2214" i="1"/>
  <c r="Q2214" i="1"/>
  <c r="Q2190" i="1"/>
  <c r="R2190" i="1"/>
  <c r="S2190" i="1"/>
  <c r="T2190" i="1"/>
  <c r="G131" i="11"/>
  <c r="K131" i="11"/>
  <c r="L131" i="11"/>
  <c r="U2190" i="1"/>
  <c r="Q2191" i="1"/>
  <c r="R2191" i="1"/>
  <c r="S2191" i="1"/>
  <c r="T2191" i="1"/>
  <c r="G132" i="11"/>
  <c r="N132" i="11"/>
  <c r="O132" i="11"/>
  <c r="U2191" i="1"/>
  <c r="Q2207" i="1"/>
  <c r="R2207" i="1"/>
  <c r="S2207" i="1"/>
  <c r="T2207" i="1"/>
  <c r="G149" i="11"/>
  <c r="U2207" i="1"/>
  <c r="Q2193" i="1"/>
  <c r="R2193" i="1"/>
  <c r="S2193" i="1"/>
  <c r="T2193" i="1"/>
  <c r="G134" i="11"/>
  <c r="U2193" i="1"/>
  <c r="Q2194" i="1"/>
  <c r="R2194" i="1"/>
  <c r="S2194" i="1"/>
  <c r="T2194" i="1"/>
  <c r="F135" i="11"/>
  <c r="I135" i="11"/>
  <c r="U2194" i="1"/>
  <c r="Q2195" i="1"/>
  <c r="R2195" i="1"/>
  <c r="S2195" i="1"/>
  <c r="T2195" i="1"/>
  <c r="G136" i="11"/>
  <c r="U2195" i="1"/>
  <c r="Q2196" i="1"/>
  <c r="R2196" i="1"/>
  <c r="S2196" i="1"/>
  <c r="T2196" i="1"/>
  <c r="G137" i="11"/>
  <c r="N137" i="11"/>
  <c r="O137" i="11"/>
  <c r="U2196" i="1"/>
  <c r="Q2197" i="1"/>
  <c r="R2197" i="1"/>
  <c r="S2197" i="1"/>
  <c r="T2197" i="1"/>
  <c r="U2197" i="1"/>
  <c r="Q2198" i="1"/>
  <c r="R2198" i="1"/>
  <c r="S2198" i="1"/>
  <c r="T2198" i="1"/>
  <c r="F139" i="11"/>
  <c r="I139" i="11"/>
  <c r="U2198" i="1"/>
  <c r="Q2199" i="1"/>
  <c r="R2199" i="1"/>
  <c r="S2199" i="1"/>
  <c r="T2199" i="1"/>
  <c r="G140" i="11"/>
  <c r="K140" i="11"/>
  <c r="L140" i="11"/>
  <c r="U2199" i="1"/>
  <c r="Q2200" i="1"/>
  <c r="R2200" i="1"/>
  <c r="S2200" i="1"/>
  <c r="T2200" i="1"/>
  <c r="G141" i="11"/>
  <c r="N141" i="11"/>
  <c r="O141" i="11"/>
  <c r="U2200" i="1"/>
  <c r="Q2203" i="1"/>
  <c r="R2203" i="1"/>
  <c r="S2203" i="1"/>
  <c r="T2203" i="1"/>
  <c r="F145" i="11"/>
  <c r="I145" i="11"/>
  <c r="U2203" i="1"/>
  <c r="Q2204" i="1"/>
  <c r="R2204" i="1"/>
  <c r="S2204" i="1"/>
  <c r="T2204" i="1"/>
  <c r="G146" i="11"/>
  <c r="K146" i="11"/>
  <c r="L146" i="11"/>
  <c r="U2204" i="1"/>
  <c r="Q2205" i="1"/>
  <c r="R2205" i="1"/>
  <c r="S2205" i="1"/>
  <c r="T2205" i="1"/>
  <c r="G147" i="11"/>
  <c r="K147" i="11"/>
  <c r="L147" i="11"/>
  <c r="U2205" i="1"/>
  <c r="Q2206" i="1"/>
  <c r="U2189" i="1"/>
  <c r="T2189" i="1"/>
  <c r="G130" i="11"/>
  <c r="N130" i="11"/>
  <c r="O130" i="11"/>
  <c r="S2189" i="1"/>
  <c r="R2189" i="1"/>
  <c r="Q2189" i="1"/>
  <c r="Q2165" i="1"/>
  <c r="R2165" i="1"/>
  <c r="S2165" i="1"/>
  <c r="T2165" i="1"/>
  <c r="G101" i="11"/>
  <c r="K101" i="11"/>
  <c r="L101" i="11"/>
  <c r="U2165" i="1"/>
  <c r="Q2166" i="1"/>
  <c r="R2166" i="1"/>
  <c r="S2166" i="1"/>
  <c r="T2166" i="1"/>
  <c r="G102" i="11"/>
  <c r="U2166" i="1"/>
  <c r="Q2167" i="1"/>
  <c r="R2167" i="1"/>
  <c r="S2167" i="1"/>
  <c r="T2167" i="1"/>
  <c r="G103" i="11"/>
  <c r="N103" i="11"/>
  <c r="O103" i="11"/>
  <c r="U2167" i="1"/>
  <c r="Q2182" i="1"/>
  <c r="R2182" i="1"/>
  <c r="S2182" i="1"/>
  <c r="T2182" i="1"/>
  <c r="G119" i="11"/>
  <c r="U2182" i="1"/>
  <c r="Q2168" i="1"/>
  <c r="R2168" i="1"/>
  <c r="S2168" i="1"/>
  <c r="T2168" i="1"/>
  <c r="G104" i="11"/>
  <c r="U2168" i="1"/>
  <c r="Q2169" i="1"/>
  <c r="R2169" i="1"/>
  <c r="S2169" i="1"/>
  <c r="T2169" i="1"/>
  <c r="U2169" i="1"/>
  <c r="Q2170" i="1"/>
  <c r="R2170" i="1"/>
  <c r="S2170" i="1"/>
  <c r="T2170" i="1"/>
  <c r="F106" i="11"/>
  <c r="I106" i="11"/>
  <c r="U2170" i="1"/>
  <c r="Q2171" i="1"/>
  <c r="R2171" i="1"/>
  <c r="S2171" i="1"/>
  <c r="T2171" i="1"/>
  <c r="G107" i="11"/>
  <c r="K107" i="11"/>
  <c r="L107" i="11"/>
  <c r="U2171" i="1"/>
  <c r="Q2172" i="1"/>
  <c r="R2172" i="1"/>
  <c r="S2172" i="1"/>
  <c r="T2172" i="1"/>
  <c r="G108" i="11"/>
  <c r="N108" i="11"/>
  <c r="O108" i="11"/>
  <c r="U2172" i="1"/>
  <c r="Q2173" i="1"/>
  <c r="R2173" i="1"/>
  <c r="S2173" i="1"/>
  <c r="T2173" i="1"/>
  <c r="G109" i="11"/>
  <c r="U2173" i="1"/>
  <c r="Q2174" i="1"/>
  <c r="R2174" i="1"/>
  <c r="S2174" i="1"/>
  <c r="T2174" i="1"/>
  <c r="F110" i="11"/>
  <c r="I110" i="11"/>
  <c r="U2174" i="1"/>
  <c r="Q2175" i="1"/>
  <c r="R2175" i="1"/>
  <c r="S2175" i="1"/>
  <c r="T2175" i="1"/>
  <c r="G111" i="11"/>
  <c r="U2175" i="1"/>
  <c r="Q2178" i="1"/>
  <c r="R2178" i="1"/>
  <c r="S2178" i="1"/>
  <c r="T2178" i="1"/>
  <c r="G115" i="11"/>
  <c r="N115" i="11"/>
  <c r="O115" i="11"/>
  <c r="U2178" i="1"/>
  <c r="Q2179" i="1"/>
  <c r="R2179" i="1"/>
  <c r="S2179" i="1"/>
  <c r="T2179" i="1"/>
  <c r="G116" i="11"/>
  <c r="K116" i="11"/>
  <c r="L116" i="11"/>
  <c r="U2179" i="1"/>
  <c r="Q2180" i="1"/>
  <c r="R2180" i="1"/>
  <c r="S2180" i="1"/>
  <c r="T2180" i="1"/>
  <c r="F117" i="11"/>
  <c r="I117" i="11"/>
  <c r="U2180" i="1"/>
  <c r="Q2181" i="1"/>
  <c r="R2181" i="1"/>
  <c r="S2181" i="1"/>
  <c r="T2181" i="1"/>
  <c r="G118" i="11"/>
  <c r="U2181" i="1"/>
  <c r="Q2183" i="1"/>
  <c r="R2183" i="1"/>
  <c r="S2183" i="1"/>
  <c r="T2183" i="1"/>
  <c r="G120" i="11"/>
  <c r="K120" i="11"/>
  <c r="L120" i="11"/>
  <c r="U2183" i="1"/>
  <c r="U2164" i="1"/>
  <c r="T2164" i="1"/>
  <c r="G100" i="11"/>
  <c r="N100" i="11"/>
  <c r="O100" i="11"/>
  <c r="S2164" i="1"/>
  <c r="R2164" i="1"/>
  <c r="Q2164" i="1"/>
  <c r="Q2140" i="1"/>
  <c r="R2140" i="1"/>
  <c r="S2140" i="1"/>
  <c r="T2140" i="1"/>
  <c r="G71" i="11"/>
  <c r="N71" i="11"/>
  <c r="O71" i="11"/>
  <c r="U2140" i="1"/>
  <c r="Q2141" i="1"/>
  <c r="R2141" i="1"/>
  <c r="S2141" i="1"/>
  <c r="T2141" i="1"/>
  <c r="F72" i="11"/>
  <c r="I72" i="11"/>
  <c r="U2141" i="1"/>
  <c r="Q2142" i="1"/>
  <c r="R2142" i="1"/>
  <c r="S2142" i="1"/>
  <c r="T2142" i="1"/>
  <c r="G73" i="11"/>
  <c r="U2142" i="1"/>
  <c r="Q2157" i="1"/>
  <c r="R2157" i="1"/>
  <c r="S2157" i="1"/>
  <c r="T2157" i="1"/>
  <c r="G89" i="11"/>
  <c r="N89" i="11"/>
  <c r="O89" i="11"/>
  <c r="U2157" i="1"/>
  <c r="Q2143" i="1"/>
  <c r="R2143" i="1"/>
  <c r="S2143" i="1"/>
  <c r="T2143" i="1"/>
  <c r="G74" i="11"/>
  <c r="U2143" i="1"/>
  <c r="Q2144" i="1"/>
  <c r="R2144" i="1"/>
  <c r="S2144" i="1"/>
  <c r="T2144" i="1"/>
  <c r="F75" i="11"/>
  <c r="I75" i="11"/>
  <c r="U2144" i="1"/>
  <c r="Q2145" i="1"/>
  <c r="R2145" i="1"/>
  <c r="S2145" i="1"/>
  <c r="T2145" i="1"/>
  <c r="G76" i="11"/>
  <c r="K76" i="11"/>
  <c r="L76" i="11"/>
  <c r="U2145" i="1"/>
  <c r="Q2146" i="1"/>
  <c r="R2146" i="1"/>
  <c r="S2146" i="1"/>
  <c r="T2146" i="1"/>
  <c r="G77" i="11"/>
  <c r="N77" i="11"/>
  <c r="O77" i="11"/>
  <c r="U2146" i="1"/>
  <c r="Q2147" i="1"/>
  <c r="R2147" i="1"/>
  <c r="S2147" i="1"/>
  <c r="T2147" i="1"/>
  <c r="G78" i="11"/>
  <c r="N78" i="11"/>
  <c r="O78" i="11"/>
  <c r="U2147" i="1"/>
  <c r="Q2148" i="1"/>
  <c r="R2148" i="1"/>
  <c r="S2148" i="1"/>
  <c r="T2148" i="1"/>
  <c r="G79" i="11"/>
  <c r="K79" i="11"/>
  <c r="L79" i="11"/>
  <c r="U2148" i="1"/>
  <c r="Q2149" i="1"/>
  <c r="R2149" i="1"/>
  <c r="S2149" i="1"/>
  <c r="T2149" i="1"/>
  <c r="G80" i="11"/>
  <c r="N80" i="11"/>
  <c r="O80" i="11"/>
  <c r="U2149" i="1"/>
  <c r="Q2150" i="1"/>
  <c r="R2150" i="1"/>
  <c r="S2150" i="1"/>
  <c r="T2150" i="1"/>
  <c r="G81" i="11"/>
  <c r="K81" i="11"/>
  <c r="L81" i="11"/>
  <c r="U2150" i="1"/>
  <c r="Q2153" i="1"/>
  <c r="R2153" i="1"/>
  <c r="S2153" i="1"/>
  <c r="T2153" i="1"/>
  <c r="F85" i="11"/>
  <c r="I85" i="11"/>
  <c r="U2153" i="1"/>
  <c r="Q2154" i="1"/>
  <c r="R2154" i="1"/>
  <c r="S2154" i="1"/>
  <c r="T2154" i="1"/>
  <c r="U2154" i="1"/>
  <c r="Q2155" i="1"/>
  <c r="R2155" i="1"/>
  <c r="S2155" i="1"/>
  <c r="T2155" i="1"/>
  <c r="G87" i="11"/>
  <c r="K87" i="11"/>
  <c r="L87" i="11"/>
  <c r="U2155" i="1"/>
  <c r="Q2156" i="1"/>
  <c r="R2156" i="1"/>
  <c r="S2156" i="1"/>
  <c r="T2156" i="1"/>
  <c r="G88" i="11"/>
  <c r="U2156" i="1"/>
  <c r="U2139" i="1"/>
  <c r="T2139" i="1"/>
  <c r="G70" i="11"/>
  <c r="N70" i="11"/>
  <c r="O70" i="11"/>
  <c r="S2139" i="1"/>
  <c r="Q2139" i="1"/>
  <c r="Q2115" i="1"/>
  <c r="R2115" i="1"/>
  <c r="S2115" i="1"/>
  <c r="T2115" i="1"/>
  <c r="F41" i="11"/>
  <c r="I41" i="11"/>
  <c r="U2115" i="1"/>
  <c r="Q2116" i="1"/>
  <c r="R2116" i="1"/>
  <c r="S2116" i="1"/>
  <c r="T2116" i="1"/>
  <c r="U2116" i="1"/>
  <c r="Q2132" i="1"/>
  <c r="R2132" i="1"/>
  <c r="S2132" i="1"/>
  <c r="T2132" i="1"/>
  <c r="F59" i="11"/>
  <c r="I59" i="11"/>
  <c r="U2132" i="1"/>
  <c r="Q2118" i="1"/>
  <c r="R2118" i="1"/>
  <c r="S2118" i="1"/>
  <c r="T2118" i="1"/>
  <c r="U2118" i="1"/>
  <c r="Q2119" i="1"/>
  <c r="R2119" i="1"/>
  <c r="S2119" i="1"/>
  <c r="T2119" i="1"/>
  <c r="F45" i="11"/>
  <c r="I45" i="11"/>
  <c r="U2119" i="1"/>
  <c r="Q2120" i="1"/>
  <c r="R2120" i="1"/>
  <c r="S2120" i="1"/>
  <c r="T2120" i="1"/>
  <c r="G46" i="11"/>
  <c r="U2120" i="1"/>
  <c r="Q2121" i="1"/>
  <c r="R2121" i="1"/>
  <c r="S2121" i="1"/>
  <c r="T2121" i="1"/>
  <c r="G47" i="11"/>
  <c r="K47" i="11"/>
  <c r="L47" i="11"/>
  <c r="U2121" i="1"/>
  <c r="Q2122" i="1"/>
  <c r="R2122" i="1"/>
  <c r="S2122" i="1"/>
  <c r="T2122" i="1"/>
  <c r="F48" i="11"/>
  <c r="I48" i="11"/>
  <c r="U2122" i="1"/>
  <c r="Q2123" i="1"/>
  <c r="R2123" i="1"/>
  <c r="S2123" i="1"/>
  <c r="T2123" i="1"/>
  <c r="G49" i="11"/>
  <c r="N49" i="11"/>
  <c r="O49" i="11"/>
  <c r="U2123" i="1"/>
  <c r="Q2124" i="1"/>
  <c r="R2124" i="1"/>
  <c r="S2124" i="1"/>
  <c r="T2124" i="1"/>
  <c r="F50" i="11"/>
  <c r="I50" i="11"/>
  <c r="U2124" i="1"/>
  <c r="Q2125" i="1"/>
  <c r="R2125" i="1"/>
  <c r="S2125" i="1"/>
  <c r="T2125" i="1"/>
  <c r="G51" i="11"/>
  <c r="N51" i="11"/>
  <c r="O51" i="11"/>
  <c r="U2125" i="1"/>
  <c r="Q2126" i="1"/>
  <c r="R2126" i="1"/>
  <c r="S2126" i="1"/>
  <c r="T2126" i="1"/>
  <c r="G52" i="11"/>
  <c r="U2126" i="1"/>
  <c r="Q2128" i="1"/>
  <c r="R2128" i="1"/>
  <c r="S2128" i="1"/>
  <c r="T2128" i="1"/>
  <c r="F55" i="11"/>
  <c r="I55" i="11"/>
  <c r="U2128" i="1"/>
  <c r="Q2129" i="1"/>
  <c r="R2129" i="1"/>
  <c r="S2129" i="1"/>
  <c r="T2129" i="1"/>
  <c r="F56" i="11"/>
  <c r="I56" i="11"/>
  <c r="U2129" i="1"/>
  <c r="Q2130" i="1"/>
  <c r="R2130" i="1"/>
  <c r="S2130" i="1"/>
  <c r="T2130" i="1"/>
  <c r="G57" i="11"/>
  <c r="U2130" i="1"/>
  <c r="Q2131" i="1"/>
  <c r="R2131" i="1"/>
  <c r="S2131" i="1"/>
  <c r="T2131" i="1"/>
  <c r="F58" i="11"/>
  <c r="I58" i="11"/>
  <c r="U2131" i="1"/>
  <c r="U2114" i="1"/>
  <c r="T2114" i="1"/>
  <c r="G40" i="11"/>
  <c r="S2114" i="1"/>
  <c r="R2114" i="1"/>
  <c r="Q2114" i="1"/>
  <c r="Q2090" i="1"/>
  <c r="R2090" i="1"/>
  <c r="S2090" i="1"/>
  <c r="T2090" i="1"/>
  <c r="F11" i="11"/>
  <c r="I11" i="11"/>
  <c r="U2090" i="1"/>
  <c r="Q2091" i="1"/>
  <c r="R2091" i="1"/>
  <c r="S2091" i="1"/>
  <c r="T2091" i="1"/>
  <c r="F12" i="11"/>
  <c r="I12" i="11"/>
  <c r="Q2107" i="1"/>
  <c r="R2107" i="1"/>
  <c r="S2107" i="1"/>
  <c r="T2107" i="1"/>
  <c r="G29" i="11"/>
  <c r="U2107" i="1"/>
  <c r="Q2093" i="1"/>
  <c r="R2093" i="1"/>
  <c r="S2093" i="1"/>
  <c r="T2093" i="1"/>
  <c r="F14" i="11"/>
  <c r="I14" i="11"/>
  <c r="U2093" i="1"/>
  <c r="Q2094" i="1"/>
  <c r="R2094" i="1"/>
  <c r="S2094" i="1"/>
  <c r="T2094" i="1"/>
  <c r="F15" i="11"/>
  <c r="I15" i="11"/>
  <c r="U2094" i="1"/>
  <c r="Q2095" i="1"/>
  <c r="R2095" i="1"/>
  <c r="S2095" i="1"/>
  <c r="T2095" i="1"/>
  <c r="U2095" i="1"/>
  <c r="Q2096" i="1"/>
  <c r="R2096" i="1"/>
  <c r="S2096" i="1"/>
  <c r="T2096" i="1"/>
  <c r="U2096" i="1"/>
  <c r="Q2097" i="1"/>
  <c r="R2097" i="1"/>
  <c r="S2097" i="1"/>
  <c r="T2097" i="1"/>
  <c r="U2097" i="1"/>
  <c r="Q2098" i="1"/>
  <c r="R2098" i="1"/>
  <c r="S2098" i="1"/>
  <c r="T2098" i="1"/>
  <c r="F19" i="11"/>
  <c r="I19" i="11"/>
  <c r="U2098" i="1"/>
  <c r="Q2099" i="1"/>
  <c r="R2099" i="1"/>
  <c r="S2099" i="1"/>
  <c r="T2099" i="1"/>
  <c r="U2099" i="1"/>
  <c r="Q2100" i="1"/>
  <c r="R2100" i="1"/>
  <c r="S2100" i="1"/>
  <c r="T2100" i="1"/>
  <c r="U2100" i="1"/>
  <c r="Q2103" i="1"/>
  <c r="R2103" i="1"/>
  <c r="S2103" i="1"/>
  <c r="T2103" i="1"/>
  <c r="G25" i="11"/>
  <c r="K25" i="11"/>
  <c r="L25" i="11"/>
  <c r="U2103" i="1"/>
  <c r="Q2104" i="1"/>
  <c r="R2104" i="1"/>
  <c r="S2104" i="1"/>
  <c r="T2104" i="1"/>
  <c r="U2104" i="1"/>
  <c r="Q2105" i="1"/>
  <c r="R2105" i="1"/>
  <c r="S2105" i="1"/>
  <c r="T2105" i="1"/>
  <c r="F27" i="11"/>
  <c r="I27" i="11"/>
  <c r="U2105" i="1"/>
  <c r="Q2106" i="1"/>
  <c r="R2106" i="1"/>
  <c r="S2106" i="1"/>
  <c r="T2106" i="1"/>
  <c r="F28" i="11"/>
  <c r="I28" i="11"/>
  <c r="U2106" i="1"/>
  <c r="Q2089" i="1"/>
  <c r="B273" i="10"/>
  <c r="D273" i="10"/>
  <c r="F273" i="10"/>
  <c r="H273" i="10"/>
  <c r="J273" i="10"/>
  <c r="L273" i="10"/>
  <c r="B274" i="10"/>
  <c r="D274" i="10"/>
  <c r="F274" i="10"/>
  <c r="H274" i="10"/>
  <c r="J274" i="10"/>
  <c r="L274" i="10"/>
  <c r="B275" i="10"/>
  <c r="D275" i="10"/>
  <c r="F275" i="10"/>
  <c r="H275" i="10"/>
  <c r="J275" i="10"/>
  <c r="L275" i="10"/>
  <c r="B276" i="10"/>
  <c r="D276" i="10"/>
  <c r="F276" i="10"/>
  <c r="H276" i="10"/>
  <c r="J276" i="10"/>
  <c r="L276" i="10"/>
  <c r="B277" i="10"/>
  <c r="D277" i="10"/>
  <c r="F277" i="10"/>
  <c r="H277" i="10"/>
  <c r="J277" i="10"/>
  <c r="L277" i="10"/>
  <c r="B278" i="10"/>
  <c r="D278" i="10"/>
  <c r="F278" i="10"/>
  <c r="H278" i="10"/>
  <c r="J278" i="10"/>
  <c r="L278" i="10"/>
  <c r="B279" i="10"/>
  <c r="D279" i="10"/>
  <c r="F279" i="10"/>
  <c r="H279" i="10"/>
  <c r="J279" i="10"/>
  <c r="L279" i="10"/>
  <c r="B280" i="10"/>
  <c r="D280" i="10"/>
  <c r="F280" i="10"/>
  <c r="H280" i="10"/>
  <c r="J280" i="10"/>
  <c r="L280" i="10"/>
  <c r="B282" i="10"/>
  <c r="D282" i="10"/>
  <c r="F282" i="10"/>
  <c r="H282" i="10"/>
  <c r="J282" i="10"/>
  <c r="L282" i="10"/>
  <c r="B283" i="10"/>
  <c r="D283" i="10"/>
  <c r="F283" i="10"/>
  <c r="H283" i="10"/>
  <c r="J283" i="10"/>
  <c r="L283" i="10"/>
  <c r="B284" i="10"/>
  <c r="D284" i="10"/>
  <c r="F284" i="10"/>
  <c r="H284" i="10"/>
  <c r="J284" i="10"/>
  <c r="L284" i="10"/>
  <c r="B285" i="10"/>
  <c r="D285" i="10"/>
  <c r="F285" i="10"/>
  <c r="H285" i="10"/>
  <c r="E112" i="13" a="1"/>
  <c r="E112" i="13"/>
  <c r="H112" i="13"/>
  <c r="J285" i="10"/>
  <c r="L285" i="10"/>
  <c r="B286" i="10"/>
  <c r="D286" i="10"/>
  <c r="F286" i="10"/>
  <c r="H286" i="10"/>
  <c r="J286" i="10"/>
  <c r="L286" i="10"/>
  <c r="B287" i="10"/>
  <c r="D287" i="10"/>
  <c r="F287" i="10"/>
  <c r="H287" i="10"/>
  <c r="J287" i="10"/>
  <c r="L287" i="10"/>
  <c r="B288" i="10"/>
  <c r="D288" i="10"/>
  <c r="F288" i="10"/>
  <c r="H288" i="10"/>
  <c r="J288" i="10"/>
  <c r="L288" i="10"/>
  <c r="L271" i="10"/>
  <c r="J271" i="10"/>
  <c r="H271" i="10"/>
  <c r="F271" i="10"/>
  <c r="D271" i="10"/>
  <c r="B271" i="10"/>
  <c r="L221" i="10"/>
  <c r="L224" i="10"/>
  <c r="L225" i="10"/>
  <c r="L226" i="10"/>
  <c r="L227" i="10"/>
  <c r="L228" i="10"/>
  <c r="L232" i="10"/>
  <c r="L233" i="10"/>
  <c r="L234" i="10"/>
  <c r="L236" i="10"/>
  <c r="J221" i="10"/>
  <c r="J224" i="10"/>
  <c r="J225" i="10"/>
  <c r="J226" i="10"/>
  <c r="J227" i="10"/>
  <c r="J228" i="10"/>
  <c r="J232" i="10"/>
  <c r="J233" i="10"/>
  <c r="J234" i="10"/>
  <c r="J236" i="10"/>
  <c r="H221" i="10"/>
  <c r="H224" i="10"/>
  <c r="H225" i="10"/>
  <c r="H226" i="10"/>
  <c r="H227" i="10"/>
  <c r="H228" i="10"/>
  <c r="H232" i="10"/>
  <c r="H233" i="10"/>
  <c r="H234" i="10"/>
  <c r="H236" i="10"/>
  <c r="F221" i="10"/>
  <c r="F224" i="10"/>
  <c r="F225" i="10"/>
  <c r="F226" i="10"/>
  <c r="F227" i="10"/>
  <c r="F228" i="10"/>
  <c r="F232" i="10"/>
  <c r="F233" i="10"/>
  <c r="F234" i="10"/>
  <c r="F236" i="10"/>
  <c r="D221" i="10"/>
  <c r="D224" i="10"/>
  <c r="D225" i="10"/>
  <c r="D226" i="10"/>
  <c r="D227" i="10"/>
  <c r="D228" i="10"/>
  <c r="D232" i="10"/>
  <c r="D233" i="10"/>
  <c r="D234" i="10"/>
  <c r="D236" i="10"/>
  <c r="B221" i="10"/>
  <c r="B224" i="10"/>
  <c r="B225" i="10"/>
  <c r="B226" i="10"/>
  <c r="B227" i="10"/>
  <c r="B228" i="10"/>
  <c r="B232" i="10"/>
  <c r="B233" i="10"/>
  <c r="B234" i="10"/>
  <c r="B236" i="10"/>
  <c r="J196" i="10"/>
  <c r="K196" i="10"/>
  <c r="J199" i="10"/>
  <c r="K199" i="10"/>
  <c r="J200" i="10"/>
  <c r="K200" i="10"/>
  <c r="J201" i="10"/>
  <c r="K201" i="10"/>
  <c r="J202" i="10"/>
  <c r="K202" i="10"/>
  <c r="J203" i="10"/>
  <c r="K203" i="10"/>
  <c r="J207" i="10"/>
  <c r="K207" i="10"/>
  <c r="J209" i="10"/>
  <c r="K209" i="10"/>
  <c r="J211" i="10"/>
  <c r="K211" i="10"/>
  <c r="H196" i="10"/>
  <c r="I196" i="10"/>
  <c r="H199" i="10"/>
  <c r="I199" i="10"/>
  <c r="H200" i="10"/>
  <c r="I200" i="10"/>
  <c r="H201" i="10"/>
  <c r="I201" i="10"/>
  <c r="H202" i="10"/>
  <c r="I202" i="10"/>
  <c r="H203" i="10"/>
  <c r="I203" i="10"/>
  <c r="H207" i="10"/>
  <c r="I207" i="10"/>
  <c r="H209" i="10"/>
  <c r="I209" i="10"/>
  <c r="H211" i="10"/>
  <c r="I211" i="10"/>
  <c r="F196" i="10"/>
  <c r="G196" i="10"/>
  <c r="F199" i="10"/>
  <c r="G199" i="10"/>
  <c r="F200" i="10"/>
  <c r="G200" i="10"/>
  <c r="F201" i="10"/>
  <c r="G201" i="10"/>
  <c r="F202" i="10"/>
  <c r="G202" i="10"/>
  <c r="F203" i="10"/>
  <c r="G203" i="10"/>
  <c r="F207" i="10"/>
  <c r="G207" i="10"/>
  <c r="F209" i="10"/>
  <c r="G209" i="10"/>
  <c r="F211" i="10"/>
  <c r="G211" i="10"/>
  <c r="D196" i="10"/>
  <c r="E196" i="10"/>
  <c r="D199" i="10"/>
  <c r="E199" i="10"/>
  <c r="D200" i="10"/>
  <c r="E200" i="10"/>
  <c r="D201" i="10"/>
  <c r="E201" i="10"/>
  <c r="D202" i="10"/>
  <c r="E202" i="10"/>
  <c r="D203" i="10"/>
  <c r="E203" i="10"/>
  <c r="D207" i="10"/>
  <c r="E207" i="10"/>
  <c r="D209" i="10"/>
  <c r="E209" i="10"/>
  <c r="D211" i="10"/>
  <c r="E211" i="10"/>
  <c r="B196" i="10"/>
  <c r="C196" i="10"/>
  <c r="B199" i="10"/>
  <c r="C199" i="10"/>
  <c r="B200" i="10"/>
  <c r="C200" i="10"/>
  <c r="B201" i="10"/>
  <c r="C201" i="10"/>
  <c r="B202" i="10"/>
  <c r="C202" i="10"/>
  <c r="B203" i="10"/>
  <c r="C203" i="10"/>
  <c r="B207" i="10"/>
  <c r="C207" i="10"/>
  <c r="B209" i="10"/>
  <c r="C209" i="10"/>
  <c r="B211" i="10"/>
  <c r="C211" i="10"/>
  <c r="L171" i="10"/>
  <c r="M171" i="10"/>
  <c r="L174" i="10"/>
  <c r="M174" i="10"/>
  <c r="L175" i="10"/>
  <c r="M175" i="10"/>
  <c r="L176" i="10"/>
  <c r="M176" i="10"/>
  <c r="L177" i="10"/>
  <c r="M177" i="10"/>
  <c r="L178" i="10"/>
  <c r="M178" i="10"/>
  <c r="L182" i="10"/>
  <c r="M182" i="10"/>
  <c r="L183" i="10"/>
  <c r="M183" i="10"/>
  <c r="L184" i="10"/>
  <c r="M184" i="10"/>
  <c r="L186" i="10"/>
  <c r="M186" i="10"/>
  <c r="H171" i="10"/>
  <c r="I171" i="10"/>
  <c r="H174" i="10"/>
  <c r="I174" i="10"/>
  <c r="H175" i="10"/>
  <c r="I175" i="10"/>
  <c r="H176" i="10"/>
  <c r="I176" i="10"/>
  <c r="H177" i="10"/>
  <c r="I177" i="10"/>
  <c r="H178" i="10"/>
  <c r="I178" i="10"/>
  <c r="H182" i="10"/>
  <c r="I182" i="10"/>
  <c r="H183" i="10"/>
  <c r="I183" i="10"/>
  <c r="H184" i="10"/>
  <c r="I184" i="10"/>
  <c r="H186" i="10"/>
  <c r="I186" i="10"/>
  <c r="F171" i="10"/>
  <c r="G171" i="10"/>
  <c r="F174" i="10"/>
  <c r="G174" i="10"/>
  <c r="F175" i="10"/>
  <c r="G175" i="10"/>
  <c r="F176" i="10"/>
  <c r="G176" i="10"/>
  <c r="F177" i="10"/>
  <c r="G177" i="10"/>
  <c r="F178" i="10"/>
  <c r="G178" i="10"/>
  <c r="F182" i="10"/>
  <c r="G182" i="10"/>
  <c r="F183" i="10"/>
  <c r="G183" i="10"/>
  <c r="F184" i="10"/>
  <c r="G184" i="10"/>
  <c r="F186" i="10"/>
  <c r="G186" i="10"/>
  <c r="D171" i="10"/>
  <c r="E171" i="10"/>
  <c r="D174" i="10"/>
  <c r="E174" i="10"/>
  <c r="D175" i="10"/>
  <c r="E175" i="10"/>
  <c r="D176" i="10"/>
  <c r="E176" i="10"/>
  <c r="D177" i="10"/>
  <c r="E177" i="10"/>
  <c r="D178" i="10"/>
  <c r="E178" i="10"/>
  <c r="D182" i="10"/>
  <c r="E182" i="10"/>
  <c r="D183" i="10"/>
  <c r="E183" i="10"/>
  <c r="D184" i="10"/>
  <c r="E184" i="10"/>
  <c r="D186" i="10"/>
  <c r="E186" i="10"/>
  <c r="B171" i="10"/>
  <c r="C171" i="10"/>
  <c r="B174" i="10"/>
  <c r="C174" i="10"/>
  <c r="B175" i="10"/>
  <c r="C175" i="10"/>
  <c r="B176" i="10"/>
  <c r="C176" i="10"/>
  <c r="B177" i="10"/>
  <c r="C177" i="10"/>
  <c r="B178" i="10"/>
  <c r="C178" i="10"/>
  <c r="B182" i="10"/>
  <c r="C182" i="10"/>
  <c r="B183" i="10"/>
  <c r="C183" i="10"/>
  <c r="B184" i="10"/>
  <c r="C184" i="10"/>
  <c r="B186" i="10"/>
  <c r="C186" i="10"/>
  <c r="L146" i="10"/>
  <c r="M146" i="10"/>
  <c r="L149" i="10"/>
  <c r="M149" i="10"/>
  <c r="L150" i="10"/>
  <c r="M150" i="10"/>
  <c r="L151" i="10"/>
  <c r="M151" i="10"/>
  <c r="L152" i="10"/>
  <c r="M152" i="10"/>
  <c r="L153" i="10"/>
  <c r="M153" i="10"/>
  <c r="L157" i="10"/>
  <c r="M157" i="10"/>
  <c r="L158" i="10"/>
  <c r="M158" i="10"/>
  <c r="L159" i="10"/>
  <c r="M159" i="10"/>
  <c r="L161" i="10"/>
  <c r="M161" i="10"/>
  <c r="J146" i="10"/>
  <c r="K146" i="10"/>
  <c r="J149" i="10"/>
  <c r="K149" i="10"/>
  <c r="J150" i="10"/>
  <c r="K150" i="10"/>
  <c r="J151" i="10"/>
  <c r="K151" i="10"/>
  <c r="J152" i="10"/>
  <c r="K152" i="10"/>
  <c r="J153" i="10"/>
  <c r="K153" i="10"/>
  <c r="J157" i="10"/>
  <c r="K157" i="10"/>
  <c r="J158" i="10"/>
  <c r="K158" i="10"/>
  <c r="J159" i="10"/>
  <c r="K159" i="10"/>
  <c r="J161" i="10"/>
  <c r="K161" i="10"/>
  <c r="F146" i="10"/>
  <c r="G146" i="10"/>
  <c r="F149" i="10"/>
  <c r="G149" i="10"/>
  <c r="F150" i="10"/>
  <c r="G150" i="10"/>
  <c r="F151" i="10"/>
  <c r="G151" i="10"/>
  <c r="F152" i="10"/>
  <c r="G152" i="10"/>
  <c r="F153" i="10"/>
  <c r="G153" i="10"/>
  <c r="F157" i="10"/>
  <c r="G157" i="10"/>
  <c r="F158" i="10"/>
  <c r="G158" i="10"/>
  <c r="F159" i="10"/>
  <c r="G159" i="10"/>
  <c r="F161" i="10"/>
  <c r="G161" i="10"/>
  <c r="D146" i="10"/>
  <c r="E146" i="10"/>
  <c r="D149" i="10"/>
  <c r="E149" i="10"/>
  <c r="D150" i="10"/>
  <c r="E150" i="10"/>
  <c r="D151" i="10"/>
  <c r="E151" i="10"/>
  <c r="D152" i="10"/>
  <c r="E152" i="10"/>
  <c r="D153" i="10"/>
  <c r="E153" i="10"/>
  <c r="D157" i="10"/>
  <c r="E157" i="10"/>
  <c r="D158" i="10"/>
  <c r="E158" i="10"/>
  <c r="D159" i="10"/>
  <c r="E159" i="10"/>
  <c r="D161" i="10"/>
  <c r="E161" i="10"/>
  <c r="B146" i="10"/>
  <c r="C146" i="10"/>
  <c r="B149" i="10"/>
  <c r="C149" i="10"/>
  <c r="B150" i="10"/>
  <c r="C150" i="10"/>
  <c r="B151" i="10"/>
  <c r="C151" i="10"/>
  <c r="B152" i="10"/>
  <c r="C152" i="10"/>
  <c r="B153" i="10"/>
  <c r="C153" i="10"/>
  <c r="B157" i="10"/>
  <c r="C157" i="10"/>
  <c r="B158" i="10"/>
  <c r="C158" i="10"/>
  <c r="B159" i="10"/>
  <c r="C159" i="10"/>
  <c r="B161" i="10"/>
  <c r="C161" i="10"/>
  <c r="AB297" i="10"/>
  <c r="L96" i="10"/>
  <c r="M96" i="10"/>
  <c r="L99" i="10"/>
  <c r="M99" i="10"/>
  <c r="L100" i="10"/>
  <c r="M100" i="10"/>
  <c r="L101" i="10"/>
  <c r="M101" i="10"/>
  <c r="L102" i="10"/>
  <c r="M102" i="10"/>
  <c r="L103" i="10"/>
  <c r="M103" i="10"/>
  <c r="L107" i="10"/>
  <c r="M107" i="10"/>
  <c r="L109" i="10"/>
  <c r="M109" i="10"/>
  <c r="L111" i="10"/>
  <c r="M111" i="10"/>
  <c r="J96" i="10"/>
  <c r="K96" i="10"/>
  <c r="J99" i="10"/>
  <c r="K99" i="10"/>
  <c r="J100" i="10"/>
  <c r="K100" i="10"/>
  <c r="J101" i="10"/>
  <c r="K101" i="10"/>
  <c r="J102" i="10"/>
  <c r="K102" i="10"/>
  <c r="J103" i="10"/>
  <c r="K103" i="10"/>
  <c r="J107" i="10"/>
  <c r="K107" i="10"/>
  <c r="J109" i="10"/>
  <c r="K109" i="10"/>
  <c r="J111" i="10"/>
  <c r="K111" i="10"/>
  <c r="H96" i="10"/>
  <c r="I96" i="10"/>
  <c r="H99" i="10"/>
  <c r="I99" i="10"/>
  <c r="H100" i="10"/>
  <c r="I100" i="10"/>
  <c r="H101" i="10"/>
  <c r="I101" i="10"/>
  <c r="H102" i="10"/>
  <c r="I102" i="10"/>
  <c r="H103" i="10"/>
  <c r="I103" i="10"/>
  <c r="H107" i="10"/>
  <c r="I107" i="10"/>
  <c r="H109" i="10"/>
  <c r="I109" i="10"/>
  <c r="H111" i="10"/>
  <c r="I111" i="10"/>
  <c r="L71" i="10"/>
  <c r="M71" i="10"/>
  <c r="L74" i="10"/>
  <c r="M74" i="10"/>
  <c r="L75" i="10"/>
  <c r="M75" i="10"/>
  <c r="L76" i="10"/>
  <c r="M76" i="10"/>
  <c r="L77" i="10"/>
  <c r="M77" i="10"/>
  <c r="L78" i="10"/>
  <c r="M78" i="10"/>
  <c r="L82" i="10"/>
  <c r="M82" i="10"/>
  <c r="L83" i="10"/>
  <c r="M83" i="10"/>
  <c r="L84" i="10"/>
  <c r="M84" i="10"/>
  <c r="L86" i="10"/>
  <c r="M86" i="10"/>
  <c r="J71" i="10"/>
  <c r="K71" i="10"/>
  <c r="J74" i="10"/>
  <c r="K74" i="10"/>
  <c r="J75" i="10"/>
  <c r="K75" i="10"/>
  <c r="J76" i="10"/>
  <c r="K76" i="10"/>
  <c r="J77" i="10"/>
  <c r="K77" i="10"/>
  <c r="J78" i="10"/>
  <c r="K78" i="10"/>
  <c r="J82" i="10"/>
  <c r="K82" i="10"/>
  <c r="J83" i="10"/>
  <c r="K83" i="10"/>
  <c r="J84" i="10"/>
  <c r="K84" i="10"/>
  <c r="J86" i="10"/>
  <c r="K86" i="10"/>
  <c r="H71" i="10"/>
  <c r="I71" i="10"/>
  <c r="H74" i="10"/>
  <c r="I74" i="10"/>
  <c r="H75" i="10"/>
  <c r="I75" i="10"/>
  <c r="H76" i="10"/>
  <c r="I76" i="10"/>
  <c r="H77" i="10"/>
  <c r="I77" i="10"/>
  <c r="H78" i="10"/>
  <c r="I78" i="10"/>
  <c r="H82" i="10"/>
  <c r="I82" i="10"/>
  <c r="H83" i="10"/>
  <c r="I83" i="10"/>
  <c r="H84" i="10"/>
  <c r="I84" i="10"/>
  <c r="H86" i="10"/>
  <c r="I86" i="10"/>
  <c r="F96" i="10"/>
  <c r="G96" i="10"/>
  <c r="F99" i="10"/>
  <c r="G99" i="10"/>
  <c r="F100" i="10"/>
  <c r="G100" i="10"/>
  <c r="F101" i="10"/>
  <c r="G101" i="10"/>
  <c r="F102" i="10"/>
  <c r="G102" i="10"/>
  <c r="F103" i="10"/>
  <c r="G103" i="10"/>
  <c r="F107" i="10"/>
  <c r="G107" i="10"/>
  <c r="F109" i="10"/>
  <c r="G109" i="10"/>
  <c r="F111" i="10"/>
  <c r="G111" i="10"/>
  <c r="B96" i="10"/>
  <c r="C96" i="10"/>
  <c r="B99" i="10"/>
  <c r="C99" i="10"/>
  <c r="B100" i="10"/>
  <c r="C100" i="10"/>
  <c r="B101" i="10"/>
  <c r="C101" i="10"/>
  <c r="B102" i="10"/>
  <c r="C102" i="10"/>
  <c r="B103" i="10"/>
  <c r="C103" i="10"/>
  <c r="B107" i="10"/>
  <c r="C107" i="10"/>
  <c r="B109" i="10"/>
  <c r="C109" i="10"/>
  <c r="B111" i="10"/>
  <c r="C111" i="10"/>
  <c r="F71" i="10"/>
  <c r="G71" i="10"/>
  <c r="F74" i="10"/>
  <c r="G74" i="10"/>
  <c r="F75" i="10"/>
  <c r="G75" i="10"/>
  <c r="F76" i="10"/>
  <c r="G76" i="10"/>
  <c r="F77" i="10"/>
  <c r="G77" i="10"/>
  <c r="F78" i="10"/>
  <c r="G78" i="10"/>
  <c r="F82" i="10"/>
  <c r="G82" i="10"/>
  <c r="F83" i="10"/>
  <c r="G83" i="10"/>
  <c r="F84" i="10"/>
  <c r="G84" i="10"/>
  <c r="F86" i="10"/>
  <c r="G86" i="10"/>
  <c r="D71" i="10"/>
  <c r="E71" i="10"/>
  <c r="D74" i="10"/>
  <c r="E74" i="10"/>
  <c r="D75" i="10"/>
  <c r="E75" i="10"/>
  <c r="D76" i="10"/>
  <c r="E76" i="10"/>
  <c r="D77" i="10"/>
  <c r="E77" i="10"/>
  <c r="D78" i="10"/>
  <c r="E78" i="10"/>
  <c r="D82" i="10"/>
  <c r="E82" i="10"/>
  <c r="D83" i="10"/>
  <c r="E83" i="10"/>
  <c r="D84" i="10"/>
  <c r="E84" i="10"/>
  <c r="D86" i="10"/>
  <c r="E86" i="10"/>
  <c r="F127" i="6"/>
  <c r="F109" i="6"/>
  <c r="F90" i="6"/>
  <c r="F72" i="6"/>
  <c r="F52" i="6"/>
  <c r="B229" i="11"/>
  <c r="C38" i="16"/>
  <c r="H38" i="16"/>
  <c r="F57" i="6"/>
  <c r="B219" i="11"/>
  <c r="C41" i="16"/>
  <c r="R2139" i="1"/>
  <c r="R2089" i="1"/>
  <c r="S2089" i="1"/>
  <c r="F187" i="10"/>
  <c r="L180" i="10"/>
  <c r="F180" i="10"/>
  <c r="M187" i="10"/>
  <c r="E187" i="10"/>
  <c r="H187" i="10"/>
  <c r="I187" i="10"/>
  <c r="H180" i="10"/>
  <c r="C187" i="10"/>
  <c r="L187" i="10"/>
  <c r="D187" i="10"/>
  <c r="G187" i="10"/>
  <c r="E180" i="10"/>
  <c r="B180" i="10"/>
  <c r="I180" i="10"/>
  <c r="G180" i="10"/>
  <c r="D180" i="10"/>
  <c r="M180" i="10"/>
  <c r="C180" i="10"/>
  <c r="B187" i="10"/>
  <c r="F205" i="10"/>
  <c r="H205" i="10"/>
  <c r="B205" i="10"/>
  <c r="G205" i="10"/>
  <c r="I205" i="10"/>
  <c r="E205" i="10"/>
  <c r="K205" i="10"/>
  <c r="B210" i="10"/>
  <c r="J205" i="10"/>
  <c r="C205" i="10"/>
  <c r="D205" i="10"/>
  <c r="C170" i="10"/>
  <c r="I170" i="10"/>
  <c r="E170" i="10"/>
  <c r="B170" i="10"/>
  <c r="E70" i="13" a="1"/>
  <c r="E70" i="13"/>
  <c r="F257" i="6"/>
  <c r="H257" i="6"/>
  <c r="H170" i="10"/>
  <c r="M170" i="10"/>
  <c r="D170" i="10"/>
  <c r="G170" i="10"/>
  <c r="F170" i="10"/>
  <c r="L170" i="10"/>
  <c r="H185" i="10"/>
  <c r="F185" i="10"/>
  <c r="G185" i="10"/>
  <c r="L185" i="10"/>
  <c r="B185" i="10"/>
  <c r="E185" i="10"/>
  <c r="M185" i="10"/>
  <c r="C185" i="10"/>
  <c r="D185" i="10"/>
  <c r="I185" i="10"/>
  <c r="E210" i="10"/>
  <c r="F210" i="10"/>
  <c r="H210" i="10"/>
  <c r="G210" i="10"/>
  <c r="J210" i="10"/>
  <c r="K210" i="10"/>
  <c r="D210" i="10"/>
  <c r="C210" i="10"/>
  <c r="I210" i="10"/>
  <c r="AE297" i="10"/>
  <c r="AI163" i="10"/>
  <c r="S298" i="10"/>
  <c r="D54" i="16"/>
  <c r="Y297" i="10"/>
  <c r="D66" i="16"/>
  <c r="AB298" i="10"/>
  <c r="D69" i="16"/>
  <c r="AE298" i="10"/>
  <c r="D74" i="16"/>
  <c r="AH298" i="10"/>
  <c r="AI188" i="10"/>
  <c r="AQ297" i="10"/>
  <c r="AI113" i="10"/>
  <c r="AH297" i="10"/>
  <c r="D81" i="16"/>
  <c r="D82" i="16"/>
  <c r="D61" i="16"/>
  <c r="AO138" i="10"/>
  <c r="Z2247" i="1"/>
  <c r="AI88" i="10"/>
  <c r="Z2134" i="1"/>
  <c r="Z2185" i="1"/>
  <c r="Z2184" i="1"/>
  <c r="Z2160" i="1"/>
  <c r="Z2158" i="1"/>
  <c r="Z2135" i="1"/>
  <c r="Z2109" i="1"/>
  <c r="Z2157" i="1"/>
  <c r="Z2133" i="1"/>
  <c r="N44" i="12"/>
  <c r="Z2151" i="1"/>
  <c r="Z2225" i="1"/>
  <c r="Z2232" i="1"/>
  <c r="Z2243" i="1"/>
  <c r="Z2242" i="1"/>
  <c r="G48" i="10"/>
  <c r="Z2240" i="1"/>
  <c r="Z2253" i="1"/>
  <c r="G46" i="10"/>
  <c r="E204" i="10"/>
  <c r="Z2231" i="1"/>
  <c r="Z2234" i="1"/>
  <c r="G22" i="11"/>
  <c r="K22" i="11"/>
  <c r="L22" i="11"/>
  <c r="G32" i="11"/>
  <c r="G182" i="11"/>
  <c r="N182" i="11"/>
  <c r="O182" i="11"/>
  <c r="G180" i="11"/>
  <c r="N180" i="11"/>
  <c r="O180" i="11"/>
  <c r="G209" i="11"/>
  <c r="N209" i="11"/>
  <c r="O209" i="11"/>
  <c r="G10" i="11"/>
  <c r="G202" i="11"/>
  <c r="N202" i="11"/>
  <c r="O202" i="11"/>
  <c r="G92" i="11"/>
  <c r="N92" i="11"/>
  <c r="O92" i="11"/>
  <c r="G61" i="11"/>
  <c r="N61" i="11"/>
  <c r="O61" i="11"/>
  <c r="G60" i="11"/>
  <c r="K60" i="11"/>
  <c r="L60" i="11"/>
  <c r="G151" i="11"/>
  <c r="N151" i="11"/>
  <c r="O151" i="11"/>
  <c r="G152" i="11"/>
  <c r="G150" i="11"/>
  <c r="N150" i="11"/>
  <c r="O150" i="11"/>
  <c r="G148" i="11"/>
  <c r="N148" i="11"/>
  <c r="O148" i="11"/>
  <c r="G82" i="11"/>
  <c r="K82" i="11"/>
  <c r="L82" i="11"/>
  <c r="G142" i="11"/>
  <c r="N142" i="11"/>
  <c r="O142" i="11"/>
  <c r="G121" i="11"/>
  <c r="Z2260" i="1"/>
  <c r="Z2258" i="1"/>
  <c r="J78" i="12"/>
  <c r="M78" i="12"/>
  <c r="N65" i="12"/>
  <c r="N49" i="12"/>
  <c r="N64" i="12"/>
  <c r="N82" i="12"/>
  <c r="N62" i="12"/>
  <c r="N81" i="12"/>
  <c r="J50" i="12"/>
  <c r="M50" i="12"/>
  <c r="N69" i="12"/>
  <c r="O25" i="12"/>
  <c r="O27" i="12"/>
  <c r="N67" i="12"/>
  <c r="O11" i="12"/>
  <c r="J26" i="12"/>
  <c r="N26" i="12"/>
  <c r="J22" i="12"/>
  <c r="N22" i="12"/>
  <c r="N73" i="12"/>
  <c r="N83" i="12"/>
  <c r="O15" i="12"/>
  <c r="O16" i="12"/>
  <c r="O12" i="12"/>
  <c r="O6" i="12"/>
  <c r="N76" i="12"/>
  <c r="N33" i="12"/>
  <c r="N35" i="12"/>
  <c r="N39" i="12"/>
  <c r="N41" i="12"/>
  <c r="N43" i="12"/>
  <c r="N48" i="12"/>
  <c r="N50" i="12"/>
  <c r="M10" i="12"/>
  <c r="N10" i="12"/>
  <c r="O20" i="12"/>
  <c r="N34" i="12"/>
  <c r="H39" i="16"/>
  <c r="F66" i="6"/>
  <c r="H66" i="6"/>
  <c r="D70" i="16"/>
  <c r="D79" i="16"/>
  <c r="D64" i="16"/>
  <c r="D96" i="16"/>
  <c r="D97" i="16"/>
  <c r="CF24" i="8"/>
  <c r="D80" i="16"/>
  <c r="D76" i="16"/>
  <c r="C105" i="16"/>
  <c r="C110" i="16"/>
  <c r="AP24" i="8"/>
  <c r="AP33" i="8"/>
  <c r="H107" i="13"/>
  <c r="C99" i="16"/>
  <c r="F163" i="6"/>
  <c r="B161" i="6"/>
  <c r="D39" i="16"/>
  <c r="BH24" i="8"/>
  <c r="BH33" i="8"/>
  <c r="D56" i="16"/>
  <c r="D71" i="16"/>
  <c r="X24" i="8"/>
  <c r="X33" i="8"/>
  <c r="O10" i="12"/>
  <c r="O9" i="12"/>
  <c r="M24" i="12"/>
  <c r="N24" i="12"/>
  <c r="O24" i="12"/>
  <c r="L66" i="12"/>
  <c r="M66" i="12"/>
  <c r="N61" i="12"/>
  <c r="L80" i="12"/>
  <c r="M80" i="12"/>
  <c r="N79" i="12"/>
  <c r="N40" i="12"/>
  <c r="L38" i="12"/>
  <c r="M38" i="12"/>
  <c r="N55" i="12"/>
  <c r="O14" i="12"/>
  <c r="O13" i="12"/>
  <c r="N78" i="12"/>
  <c r="O26" i="12"/>
  <c r="O22" i="12"/>
  <c r="N72" i="12"/>
  <c r="N70" i="12"/>
  <c r="L52" i="12"/>
  <c r="M52" i="12"/>
  <c r="E113" i="13" a="1"/>
  <c r="E113" i="13"/>
  <c r="H113" i="13"/>
  <c r="O23" i="12"/>
  <c r="N51" i="12"/>
  <c r="N52" i="12"/>
  <c r="N80" i="12"/>
  <c r="N38" i="12"/>
  <c r="N66" i="12"/>
  <c r="AO24" i="8"/>
  <c r="AO33" i="8"/>
  <c r="D77" i="16"/>
  <c r="BG24" i="8"/>
  <c r="BG33" i="8"/>
  <c r="Z2251" i="1"/>
  <c r="I362" i="7"/>
  <c r="B191" i="11"/>
  <c r="I356" i="7"/>
  <c r="I358" i="7"/>
  <c r="B71" i="11"/>
  <c r="I360" i="7"/>
  <c r="B131" i="11"/>
  <c r="F150" i="11"/>
  <c r="I150" i="11"/>
  <c r="F30" i="11"/>
  <c r="I30" i="11"/>
  <c r="F112" i="11"/>
  <c r="I112" i="11"/>
  <c r="F121" i="11"/>
  <c r="I121" i="11"/>
  <c r="F181" i="11"/>
  <c r="I181" i="11"/>
  <c r="F92" i="11"/>
  <c r="I92" i="11"/>
  <c r="F82" i="11"/>
  <c r="I82" i="11"/>
  <c r="F91" i="11"/>
  <c r="I91" i="11"/>
  <c r="F152" i="11"/>
  <c r="I152" i="11"/>
  <c r="F142" i="11"/>
  <c r="I142" i="11"/>
  <c r="F60" i="11"/>
  <c r="I60" i="11"/>
  <c r="F151" i="11"/>
  <c r="I151" i="11"/>
  <c r="F212" i="11"/>
  <c r="I212" i="11"/>
  <c r="I361" i="7"/>
  <c r="B161" i="11"/>
  <c r="I359" i="7"/>
  <c r="B101" i="11"/>
  <c r="I357" i="7"/>
  <c r="B11" i="11"/>
  <c r="B41" i="11"/>
  <c r="I363" i="7"/>
  <c r="CP33" i="8"/>
  <c r="C104" i="16"/>
  <c r="C109" i="16"/>
  <c r="H41" i="16"/>
  <c r="F161" i="6"/>
  <c r="B160" i="6"/>
  <c r="D38" i="16"/>
  <c r="F149" i="6"/>
  <c r="F133" i="6"/>
  <c r="Z2176" i="1"/>
  <c r="Z2108" i="1"/>
  <c r="Z2233" i="1"/>
  <c r="F148" i="11"/>
  <c r="I148" i="11"/>
  <c r="F210" i="11"/>
  <c r="I210" i="11"/>
  <c r="F211" i="11"/>
  <c r="I211" i="11"/>
  <c r="F209" i="11"/>
  <c r="I209" i="11"/>
  <c r="F61" i="11"/>
  <c r="I61" i="11"/>
  <c r="Z2206" i="1"/>
  <c r="H54" i="10"/>
  <c r="D237" i="10"/>
  <c r="Z2196" i="1"/>
  <c r="Z2241" i="1"/>
  <c r="G39" i="10"/>
  <c r="D197" i="10"/>
  <c r="Z2117" i="1"/>
  <c r="C48" i="10"/>
  <c r="E81" i="10"/>
  <c r="Z2172" i="1"/>
  <c r="Z2200" i="1"/>
  <c r="Z2214" i="1"/>
  <c r="Z2228" i="1"/>
  <c r="F46" i="10"/>
  <c r="F36" i="10"/>
  <c r="F169" i="10"/>
  <c r="Z2222" i="1"/>
  <c r="Z2218" i="1"/>
  <c r="Z2215" i="1"/>
  <c r="Z2254" i="1"/>
  <c r="Z2248" i="1"/>
  <c r="Z2244" i="1"/>
  <c r="G195" i="11"/>
  <c r="N195" i="11"/>
  <c r="O195" i="11"/>
  <c r="Z2101" i="1"/>
  <c r="F102" i="11"/>
  <c r="I102" i="11"/>
  <c r="Z2094" i="1"/>
  <c r="Z2106" i="1"/>
  <c r="B54" i="10"/>
  <c r="C112" i="10"/>
  <c r="Z2099" i="1"/>
  <c r="Z2095" i="1"/>
  <c r="Z2139" i="1"/>
  <c r="Z2179" i="1"/>
  <c r="Z2173" i="1"/>
  <c r="Z2169" i="1"/>
  <c r="Z2208" i="1"/>
  <c r="Z2203" i="1"/>
  <c r="H46" i="10"/>
  <c r="D229" i="10"/>
  <c r="Z2197" i="1"/>
  <c r="Z2193" i="1"/>
  <c r="H47" i="10"/>
  <c r="L230" i="10"/>
  <c r="K164" i="11"/>
  <c r="L164" i="11"/>
  <c r="K162" i="11"/>
  <c r="L162" i="11"/>
  <c r="F162" i="11"/>
  <c r="I162" i="11"/>
  <c r="G192" i="11"/>
  <c r="N192" i="11"/>
  <c r="O192" i="11"/>
  <c r="F201" i="11"/>
  <c r="I201" i="11"/>
  <c r="F115" i="11"/>
  <c r="I115" i="11"/>
  <c r="F104" i="11"/>
  <c r="I104" i="11"/>
  <c r="G179" i="11"/>
  <c r="Z2126" i="1"/>
  <c r="Z2122" i="1"/>
  <c r="Z2118" i="1"/>
  <c r="C47" i="10"/>
  <c r="I80" i="10"/>
  <c r="Z2174" i="1"/>
  <c r="Z2191" i="1"/>
  <c r="H39" i="10"/>
  <c r="Z2103" i="1"/>
  <c r="B46" i="10"/>
  <c r="Z2092" i="1"/>
  <c r="B48" i="10"/>
  <c r="L106" i="10"/>
  <c r="Z2226" i="1"/>
  <c r="G31" i="11"/>
  <c r="Z2141" i="1"/>
  <c r="D39" i="10"/>
  <c r="K122" i="10"/>
  <c r="N147" i="11"/>
  <c r="O147" i="11"/>
  <c r="F147" i="11"/>
  <c r="I147" i="11"/>
  <c r="F134" i="11"/>
  <c r="I134" i="11"/>
  <c r="F77" i="11"/>
  <c r="I77" i="11"/>
  <c r="F109" i="11"/>
  <c r="I109" i="11"/>
  <c r="K211" i="11"/>
  <c r="L211" i="11"/>
  <c r="K30" i="11"/>
  <c r="L30" i="11"/>
  <c r="K77" i="11"/>
  <c r="L77" i="11"/>
  <c r="F40" i="11"/>
  <c r="I40" i="11"/>
  <c r="K133" i="11"/>
  <c r="L133" i="11"/>
  <c r="F130" i="11"/>
  <c r="I130" i="11"/>
  <c r="F133" i="11"/>
  <c r="I133" i="11"/>
  <c r="G13" i="11"/>
  <c r="N13" i="11"/>
  <c r="O13" i="11"/>
  <c r="F13" i="11"/>
  <c r="I13" i="11"/>
  <c r="K201" i="11"/>
  <c r="L201" i="11"/>
  <c r="N201" i="11"/>
  <c r="O201" i="11"/>
  <c r="K181" i="11"/>
  <c r="L181" i="11"/>
  <c r="N181" i="11"/>
  <c r="O181" i="11"/>
  <c r="G43" i="11"/>
  <c r="K43" i="11"/>
  <c r="L43" i="11"/>
  <c r="F43" i="11"/>
  <c r="I43" i="11"/>
  <c r="K212" i="11"/>
  <c r="L212" i="11"/>
  <c r="N212" i="11"/>
  <c r="O212" i="11"/>
  <c r="F114" i="13" a="1"/>
  <c r="F90" i="13" a="1"/>
  <c r="F102" i="13" a="1"/>
  <c r="E119" i="13" a="1"/>
  <c r="E119" i="13"/>
  <c r="H119" i="13"/>
  <c r="D72" i="16"/>
  <c r="AF24" i="8"/>
  <c r="AF33" i="8"/>
  <c r="AG24" i="8"/>
  <c r="AG33" i="8"/>
  <c r="E24" i="8"/>
  <c r="E33" i="8"/>
  <c r="D62" i="16"/>
  <c r="D24" i="8"/>
  <c r="D33" i="8"/>
  <c r="D101" i="16"/>
  <c r="D57" i="16"/>
  <c r="AX24" i="8"/>
  <c r="AX33" i="8"/>
  <c r="AY24" i="8"/>
  <c r="D99" i="16"/>
  <c r="CF33" i="8"/>
  <c r="CG33" i="8"/>
  <c r="CG24" i="8"/>
  <c r="D67" i="16"/>
  <c r="W24" i="8"/>
  <c r="D87" i="16"/>
  <c r="BS24" i="8"/>
  <c r="BS33" i="8"/>
  <c r="BT33" i="8"/>
  <c r="D106" i="16"/>
  <c r="D107" i="16"/>
  <c r="E101" i="13" a="1"/>
  <c r="E101" i="13"/>
  <c r="H101" i="13"/>
  <c r="F264" i="6"/>
  <c r="F246" i="6"/>
  <c r="D102" i="16"/>
  <c r="CN24" i="8"/>
  <c r="CN33" i="8"/>
  <c r="D109" i="16"/>
  <c r="CO24" i="8"/>
  <c r="AZ24" i="8"/>
  <c r="AY33" i="8"/>
  <c r="D111" i="16"/>
  <c r="AQ24" i="8"/>
  <c r="AQ33" i="8"/>
  <c r="D112" i="16"/>
  <c r="F190" i="11"/>
  <c r="I190" i="11"/>
  <c r="G196" i="11"/>
  <c r="F206" i="11"/>
  <c r="I206" i="11"/>
  <c r="Z2114" i="1"/>
  <c r="Z2128" i="1"/>
  <c r="C46" i="10"/>
  <c r="Q300" i="6"/>
  <c r="F299" i="6"/>
  <c r="Z2123" i="1"/>
  <c r="Z2115" i="1"/>
  <c r="Z2154" i="1"/>
  <c r="Z2148" i="1"/>
  <c r="Z2144" i="1"/>
  <c r="Z2140" i="1"/>
  <c r="Z2180" i="1"/>
  <c r="Z2170" i="1"/>
  <c r="Z2167" i="1"/>
  <c r="E48" i="10"/>
  <c r="K156" i="10"/>
  <c r="Z2210" i="1"/>
  <c r="Z2204" i="1"/>
  <c r="Z2198" i="1"/>
  <c r="Z2194" i="1"/>
  <c r="Z2190" i="1"/>
  <c r="Z2229" i="1"/>
  <c r="Z2223" i="1"/>
  <c r="Z2219" i="1"/>
  <c r="Z2216" i="1"/>
  <c r="F39" i="10"/>
  <c r="E172" i="10"/>
  <c r="Z2255" i="1"/>
  <c r="Z2245" i="1"/>
  <c r="F62" i="11"/>
  <c r="I62" i="11"/>
  <c r="F70" i="11"/>
  <c r="I70" i="11"/>
  <c r="F164" i="11"/>
  <c r="I164" i="11"/>
  <c r="F176" i="11"/>
  <c r="I176" i="11"/>
  <c r="F161" i="11"/>
  <c r="I161" i="11"/>
  <c r="K197" i="10"/>
  <c r="N120" i="11"/>
  <c r="O120" i="11"/>
  <c r="F191" i="11"/>
  <c r="I191" i="11"/>
  <c r="F10" i="11"/>
  <c r="I10" i="11"/>
  <c r="N171" i="11"/>
  <c r="O171" i="11"/>
  <c r="Z2104" i="1"/>
  <c r="K13" i="11"/>
  <c r="L13" i="11"/>
  <c r="Z2100" i="1"/>
  <c r="Z2132" i="1"/>
  <c r="Z2156" i="1"/>
  <c r="D54" i="10"/>
  <c r="Z2150" i="1"/>
  <c r="Z2146" i="1"/>
  <c r="Z2142" i="1"/>
  <c r="D48" i="10"/>
  <c r="L131" i="10"/>
  <c r="Z2183" i="1"/>
  <c r="Z2178" i="1"/>
  <c r="E46" i="10"/>
  <c r="M154" i="10"/>
  <c r="Z2168" i="1"/>
  <c r="E47" i="10"/>
  <c r="G155" i="10"/>
  <c r="Z2165" i="1"/>
  <c r="Z2207" i="1"/>
  <c r="Z2221" i="1"/>
  <c r="Z2239" i="1"/>
  <c r="K78" i="11"/>
  <c r="L78" i="11"/>
  <c r="Z2105" i="1"/>
  <c r="Z2098" i="1"/>
  <c r="Z2201" i="1"/>
  <c r="F25" i="11"/>
  <c r="I25" i="11"/>
  <c r="N140" i="11"/>
  <c r="O140" i="11"/>
  <c r="F78" i="11"/>
  <c r="I78" i="11"/>
  <c r="G197" i="11"/>
  <c r="N197" i="11"/>
  <c r="O197" i="11"/>
  <c r="F207" i="11"/>
  <c r="I207" i="11"/>
  <c r="F122" i="11"/>
  <c r="I122" i="11"/>
  <c r="K71" i="11"/>
  <c r="L71" i="11"/>
  <c r="F172" i="11"/>
  <c r="I172" i="11"/>
  <c r="F103" i="11"/>
  <c r="I103" i="11"/>
  <c r="K178" i="11"/>
  <c r="L178" i="11"/>
  <c r="K193" i="11"/>
  <c r="L193" i="11"/>
  <c r="G190" i="11"/>
  <c r="N190" i="11"/>
  <c r="O190" i="11"/>
  <c r="F116" i="11"/>
  <c r="I116" i="11"/>
  <c r="F193" i="11"/>
  <c r="I193" i="11"/>
  <c r="F89" i="11"/>
  <c r="I89" i="11"/>
  <c r="F140" i="11"/>
  <c r="I140" i="11"/>
  <c r="F71" i="11"/>
  <c r="I71" i="11"/>
  <c r="F137" i="11"/>
  <c r="I137" i="11"/>
  <c r="F29" i="11"/>
  <c r="I29" i="11"/>
  <c r="K92" i="11"/>
  <c r="L92" i="11"/>
  <c r="F16" i="11"/>
  <c r="I16" i="11"/>
  <c r="F79" i="11"/>
  <c r="I79" i="11"/>
  <c r="K168" i="11"/>
  <c r="L168" i="11"/>
  <c r="G56" i="11"/>
  <c r="K56" i="11"/>
  <c r="L56" i="11"/>
  <c r="G135" i="11"/>
  <c r="K135" i="11"/>
  <c r="L135" i="11"/>
  <c r="Z2097" i="1"/>
  <c r="Z2093" i="1"/>
  <c r="B47" i="10"/>
  <c r="K105" i="10"/>
  <c r="Z2143" i="1"/>
  <c r="D47" i="10"/>
  <c r="E130" i="10"/>
  <c r="Z2166" i="1"/>
  <c r="E39" i="10"/>
  <c r="D147" i="10"/>
  <c r="F205" i="11"/>
  <c r="I205" i="11"/>
  <c r="N81" i="11"/>
  <c r="O81" i="11"/>
  <c r="Z2091" i="1"/>
  <c r="Z2090" i="1"/>
  <c r="Z2129" i="1"/>
  <c r="Z2124" i="1"/>
  <c r="Z2120" i="1"/>
  <c r="Z2116" i="1"/>
  <c r="C39" i="10"/>
  <c r="E72" i="10"/>
  <c r="Z2155" i="1"/>
  <c r="Z2149" i="1"/>
  <c r="Z2145" i="1"/>
  <c r="Z2181" i="1"/>
  <c r="E54" i="10"/>
  <c r="C162" i="10"/>
  <c r="Z2175" i="1"/>
  <c r="Z2171" i="1"/>
  <c r="Z2182" i="1"/>
  <c r="Z2189" i="1"/>
  <c r="Z2205" i="1"/>
  <c r="Z2199" i="1"/>
  <c r="Z2195" i="1"/>
  <c r="Z2224" i="1"/>
  <c r="Z2220" i="1"/>
  <c r="Z2217" i="1"/>
  <c r="F48" i="10"/>
  <c r="H181" i="10"/>
  <c r="Z2256" i="1"/>
  <c r="G54" i="10"/>
  <c r="B212" i="10"/>
  <c r="Z2250" i="1"/>
  <c r="Z2246" i="1"/>
  <c r="Z2257" i="1"/>
  <c r="Y2084" i="1"/>
  <c r="Y2085" i="1"/>
  <c r="K130" i="11"/>
  <c r="L130" i="11"/>
  <c r="N116" i="11"/>
  <c r="O116" i="11"/>
  <c r="D212" i="10"/>
  <c r="N198" i="11"/>
  <c r="O198" i="11"/>
  <c r="N107" i="11"/>
  <c r="O107" i="11"/>
  <c r="F107" i="11"/>
  <c r="I107" i="11"/>
  <c r="G75" i="11"/>
  <c r="N75" i="11"/>
  <c r="O75" i="11"/>
  <c r="F198" i="11"/>
  <c r="I198" i="11"/>
  <c r="G19" i="11"/>
  <c r="K19" i="11"/>
  <c r="L19" i="11"/>
  <c r="G145" i="11"/>
  <c r="N145" i="11"/>
  <c r="O145" i="11"/>
  <c r="K100" i="11"/>
  <c r="L100" i="11"/>
  <c r="F131" i="11"/>
  <c r="I131" i="11"/>
  <c r="N131" i="11"/>
  <c r="O131" i="11"/>
  <c r="F90" i="11"/>
  <c r="I90" i="11"/>
  <c r="C36" i="10"/>
  <c r="K69" i="10"/>
  <c r="J155" i="10"/>
  <c r="F230" i="10"/>
  <c r="F141" i="11"/>
  <c r="I141" i="11"/>
  <c r="E155" i="10"/>
  <c r="E2093" i="1"/>
  <c r="F30" i="13"/>
  <c r="F33" i="13"/>
  <c r="Z2089" i="1"/>
  <c r="Z2153" i="1"/>
  <c r="D46" i="10"/>
  <c r="C129" i="10"/>
  <c r="Q374" i="6"/>
  <c r="F365" i="6"/>
  <c r="J365" i="6"/>
  <c r="K365" i="6"/>
  <c r="F168" i="11"/>
  <c r="I168" i="11"/>
  <c r="I112" i="10"/>
  <c r="L79" i="10"/>
  <c r="G166" i="11"/>
  <c r="N166" i="11"/>
  <c r="O166" i="11"/>
  <c r="H230" i="10"/>
  <c r="K163" i="11"/>
  <c r="L163" i="11"/>
  <c r="R2211" i="1"/>
  <c r="F111" i="11"/>
  <c r="I111" i="11"/>
  <c r="Z2096" i="1"/>
  <c r="Z2107" i="1"/>
  <c r="Z2130" i="1"/>
  <c r="Z2125" i="1"/>
  <c r="Z2121" i="1"/>
  <c r="F167" i="11"/>
  <c r="I167" i="11"/>
  <c r="N76" i="11"/>
  <c r="O76" i="11"/>
  <c r="K205" i="11"/>
  <c r="L205" i="11"/>
  <c r="K176" i="11"/>
  <c r="L176" i="11"/>
  <c r="F76" i="11"/>
  <c r="I76" i="11"/>
  <c r="F146" i="11"/>
  <c r="I146" i="11"/>
  <c r="F120" i="11"/>
  <c r="I120" i="11"/>
  <c r="F165" i="11"/>
  <c r="I165" i="11"/>
  <c r="F163" i="11"/>
  <c r="I163" i="11"/>
  <c r="Q2236" i="1"/>
  <c r="U2236" i="1"/>
  <c r="U2261" i="1"/>
  <c r="F26" i="11"/>
  <c r="I26" i="11"/>
  <c r="K132" i="11"/>
  <c r="L132" i="11"/>
  <c r="N79" i="11"/>
  <c r="O79" i="11"/>
  <c r="F132" i="11"/>
  <c r="I132" i="11"/>
  <c r="E2144" i="1"/>
  <c r="N146" i="11"/>
  <c r="O146" i="11"/>
  <c r="K209" i="11"/>
  <c r="L209" i="11"/>
  <c r="T2211" i="1"/>
  <c r="F87" i="11"/>
  <c r="I87" i="11"/>
  <c r="F108" i="11"/>
  <c r="I108" i="11"/>
  <c r="G59" i="11"/>
  <c r="K59" i="11"/>
  <c r="L59" i="11"/>
  <c r="K89" i="11"/>
  <c r="L89" i="11"/>
  <c r="H79" i="10"/>
  <c r="K141" i="11"/>
  <c r="L141" i="11"/>
  <c r="F49" i="11"/>
  <c r="I49" i="11"/>
  <c r="F51" i="11"/>
  <c r="I51" i="11"/>
  <c r="K161" i="11"/>
  <c r="L161" i="11"/>
  <c r="F194" i="11"/>
  <c r="I194" i="11"/>
  <c r="G106" i="10"/>
  <c r="H106" i="10"/>
  <c r="K70" i="11"/>
  <c r="L70" i="11"/>
  <c r="N207" i="11"/>
  <c r="O207" i="11"/>
  <c r="G199" i="11"/>
  <c r="N199" i="11"/>
  <c r="O199" i="11"/>
  <c r="N167" i="11"/>
  <c r="O167" i="11"/>
  <c r="N191" i="11"/>
  <c r="O191" i="11"/>
  <c r="K191" i="11"/>
  <c r="L191" i="11"/>
  <c r="Q324" i="6"/>
  <c r="F323" i="6"/>
  <c r="M323" i="6"/>
  <c r="N323" i="6"/>
  <c r="K170" i="11"/>
  <c r="L170" i="11"/>
  <c r="G55" i="11"/>
  <c r="F81" i="11"/>
  <c r="I81" i="11"/>
  <c r="G117" i="11"/>
  <c r="U2186" i="1"/>
  <c r="Z2131" i="1"/>
  <c r="C54" i="10"/>
  <c r="J87" i="10"/>
  <c r="Z2147" i="1"/>
  <c r="G12" i="11"/>
  <c r="N12" i="11"/>
  <c r="O12" i="11"/>
  <c r="G58" i="11"/>
  <c r="K58" i="11"/>
  <c r="L58" i="11"/>
  <c r="F57" i="11"/>
  <c r="I57" i="11"/>
  <c r="K61" i="11"/>
  <c r="L61" i="11"/>
  <c r="L172" i="10"/>
  <c r="F136" i="11"/>
  <c r="I136" i="11"/>
  <c r="F118" i="11"/>
  <c r="I118" i="11"/>
  <c r="G139" i="11"/>
  <c r="G48" i="11"/>
  <c r="N48" i="11"/>
  <c r="O48" i="11"/>
  <c r="D154" i="10"/>
  <c r="G208" i="11"/>
  <c r="N208" i="11"/>
  <c r="O208" i="11"/>
  <c r="S2211" i="1"/>
  <c r="F119" i="11"/>
  <c r="I119" i="11"/>
  <c r="B172" i="10"/>
  <c r="K142" i="11"/>
  <c r="L142" i="11"/>
  <c r="F52" i="11"/>
  <c r="I52" i="11"/>
  <c r="K79" i="10"/>
  <c r="B155" i="10"/>
  <c r="N22" i="11"/>
  <c r="O22" i="11"/>
  <c r="E2143" i="1"/>
  <c r="F46" i="11"/>
  <c r="I46" i="11"/>
  <c r="G200" i="11"/>
  <c r="N200" i="11"/>
  <c r="O200" i="11"/>
  <c r="F149" i="11"/>
  <c r="I149" i="11"/>
  <c r="N149" i="11"/>
  <c r="O149" i="11"/>
  <c r="K149" i="11"/>
  <c r="L149" i="11"/>
  <c r="I213" i="11"/>
  <c r="B204" i="11"/>
  <c r="C33" i="16"/>
  <c r="H33" i="16"/>
  <c r="N210" i="11"/>
  <c r="O210" i="11"/>
  <c r="K210" i="11"/>
  <c r="L210" i="11"/>
  <c r="H222" i="10"/>
  <c r="C52" i="13" a="1"/>
  <c r="C52" i="13"/>
  <c r="F222" i="10"/>
  <c r="C40" i="13" a="1"/>
  <c r="C40" i="13"/>
  <c r="D222" i="10"/>
  <c r="C16" i="13" a="1"/>
  <c r="C16" i="13"/>
  <c r="L222" i="10"/>
  <c r="C76" i="13" a="1"/>
  <c r="C76" i="13"/>
  <c r="J222" i="10"/>
  <c r="C64" i="13" a="1"/>
  <c r="C64" i="13"/>
  <c r="N102" i="11"/>
  <c r="O102" i="11"/>
  <c r="K102" i="11"/>
  <c r="L102" i="11"/>
  <c r="N111" i="11"/>
  <c r="O111" i="11"/>
  <c r="K111" i="11"/>
  <c r="L111" i="11"/>
  <c r="N74" i="11"/>
  <c r="O74" i="11"/>
  <c r="K74" i="11"/>
  <c r="L74" i="11"/>
  <c r="G110" i="11"/>
  <c r="G175" i="11"/>
  <c r="F169" i="11"/>
  <c r="I169" i="11"/>
  <c r="Q2261" i="1"/>
  <c r="Z2265" i="1"/>
  <c r="G15" i="11"/>
  <c r="K15" i="11"/>
  <c r="L15" i="11"/>
  <c r="E197" i="10"/>
  <c r="H197" i="10"/>
  <c r="D230" i="10"/>
  <c r="E179" i="10"/>
  <c r="F47" i="11"/>
  <c r="I47" i="11"/>
  <c r="I197" i="10"/>
  <c r="F101" i="11"/>
  <c r="I101" i="11"/>
  <c r="G50" i="11"/>
  <c r="F160" i="11"/>
  <c r="I160" i="11"/>
  <c r="G72" i="11"/>
  <c r="H172" i="10"/>
  <c r="G16" i="11"/>
  <c r="F202" i="11"/>
  <c r="I202" i="11"/>
  <c r="F32" i="11"/>
  <c r="I32" i="11"/>
  <c r="K150" i="11"/>
  <c r="L150" i="11"/>
  <c r="S2136" i="1"/>
  <c r="H204" i="10"/>
  <c r="C197" i="10"/>
  <c r="J197" i="10"/>
  <c r="C179" i="10"/>
  <c r="K151" i="11"/>
  <c r="L151" i="11"/>
  <c r="K137" i="11"/>
  <c r="L137" i="11"/>
  <c r="H169" i="10"/>
  <c r="G197" i="10"/>
  <c r="B230" i="10"/>
  <c r="K195" i="11"/>
  <c r="L195" i="11"/>
  <c r="E131" i="10"/>
  <c r="N160" i="11"/>
  <c r="O160" i="11"/>
  <c r="M172" i="10"/>
  <c r="B229" i="10"/>
  <c r="K180" i="11"/>
  <c r="L180" i="11"/>
  <c r="G85" i="11"/>
  <c r="K85" i="11"/>
  <c r="L85" i="11"/>
  <c r="F80" i="11"/>
  <c r="I80" i="11"/>
  <c r="G14" i="11"/>
  <c r="G206" i="11"/>
  <c r="N206" i="11"/>
  <c r="O206" i="11"/>
  <c r="Y2087" i="1"/>
  <c r="U2161" i="1"/>
  <c r="Q2186" i="1"/>
  <c r="S2186" i="1"/>
  <c r="Q2211" i="1"/>
  <c r="G36" i="10"/>
  <c r="F194" i="10"/>
  <c r="G45" i="11"/>
  <c r="N45" i="11"/>
  <c r="O45" i="11"/>
  <c r="N91" i="11"/>
  <c r="O91" i="11"/>
  <c r="K80" i="11"/>
  <c r="L80" i="11"/>
  <c r="F74" i="11"/>
  <c r="I74" i="11"/>
  <c r="B197" i="10"/>
  <c r="N25" i="11"/>
  <c r="O25" i="11"/>
  <c r="I106" i="10"/>
  <c r="D172" i="10"/>
  <c r="F171" i="11"/>
  <c r="I171" i="11"/>
  <c r="G106" i="11"/>
  <c r="J257" i="6"/>
  <c r="K257" i="6"/>
  <c r="N43" i="11"/>
  <c r="O43" i="11"/>
  <c r="H52" i="10"/>
  <c r="F235" i="10"/>
  <c r="J230" i="10"/>
  <c r="D204" i="10"/>
  <c r="N101" i="11"/>
  <c r="O101" i="11"/>
  <c r="G177" i="11"/>
  <c r="N82" i="11"/>
  <c r="O82" i="11"/>
  <c r="K51" i="11"/>
  <c r="L51" i="11"/>
  <c r="F178" i="11"/>
  <c r="I178" i="11"/>
  <c r="I183" i="11"/>
  <c r="B174" i="11"/>
  <c r="C30" i="16"/>
  <c r="H30" i="16"/>
  <c r="G50" i="10"/>
  <c r="F21" i="11"/>
  <c r="I21" i="11"/>
  <c r="G21" i="11"/>
  <c r="N21" i="11"/>
  <c r="O21" i="11"/>
  <c r="S2111" i="1"/>
  <c r="B156" i="10"/>
  <c r="J156" i="10"/>
  <c r="F156" i="10"/>
  <c r="L156" i="10"/>
  <c r="N40" i="11"/>
  <c r="O40" i="11"/>
  <c r="K40" i="11"/>
  <c r="L40" i="11"/>
  <c r="N46" i="11"/>
  <c r="O46" i="11"/>
  <c r="K46" i="11"/>
  <c r="L46" i="11"/>
  <c r="K121" i="11"/>
  <c r="L121" i="11"/>
  <c r="N121" i="11"/>
  <c r="O121" i="11"/>
  <c r="F147" i="10"/>
  <c r="Q349" i="6"/>
  <c r="M80" i="10"/>
  <c r="K80" i="10"/>
  <c r="D80" i="10"/>
  <c r="Q373" i="6"/>
  <c r="E80" i="10"/>
  <c r="J80" i="10"/>
  <c r="H80" i="10"/>
  <c r="Q421" i="6"/>
  <c r="Q301" i="6"/>
  <c r="H299" i="6"/>
  <c r="J299" i="6"/>
  <c r="K299" i="6"/>
  <c r="M299" i="6"/>
  <c r="N299" i="6"/>
  <c r="I206" i="10"/>
  <c r="E206" i="10"/>
  <c r="H206" i="10"/>
  <c r="M104" i="10"/>
  <c r="I104" i="10"/>
  <c r="L104" i="10"/>
  <c r="J104" i="10"/>
  <c r="B104" i="10"/>
  <c r="H104" i="10"/>
  <c r="F104" i="10"/>
  <c r="C104" i="10"/>
  <c r="N90" i="11"/>
  <c r="O90" i="11"/>
  <c r="K90" i="11"/>
  <c r="L90" i="11"/>
  <c r="N88" i="11"/>
  <c r="O88" i="11"/>
  <c r="K88" i="11"/>
  <c r="L88" i="11"/>
  <c r="B206" i="10"/>
  <c r="D72" i="10"/>
  <c r="Q317" i="6"/>
  <c r="F316" i="6"/>
  <c r="Q293" i="6"/>
  <c r="F292" i="6"/>
  <c r="N152" i="11"/>
  <c r="O152" i="11"/>
  <c r="K152" i="11"/>
  <c r="L152" i="11"/>
  <c r="F42" i="11"/>
  <c r="I42" i="11"/>
  <c r="T2136" i="1"/>
  <c r="R2136" i="1"/>
  <c r="G44" i="11"/>
  <c r="F44" i="11"/>
  <c r="I44" i="11"/>
  <c r="R2161" i="1"/>
  <c r="F73" i="11"/>
  <c r="I73" i="11"/>
  <c r="T2161" i="1"/>
  <c r="N104" i="11"/>
  <c r="O104" i="11"/>
  <c r="K104" i="11"/>
  <c r="L104" i="11"/>
  <c r="B112" i="10"/>
  <c r="L69" i="10"/>
  <c r="N47" i="11"/>
  <c r="O47" i="11"/>
  <c r="Q372" i="6"/>
  <c r="F371" i="6"/>
  <c r="D179" i="10"/>
  <c r="N60" i="11"/>
  <c r="O60" i="11"/>
  <c r="K192" i="11"/>
  <c r="L192" i="11"/>
  <c r="K112" i="11"/>
  <c r="L112" i="11"/>
  <c r="K131" i="10"/>
  <c r="D131" i="10"/>
  <c r="H112" i="10"/>
  <c r="M257" i="6"/>
  <c r="N257" i="6"/>
  <c r="D79" i="10"/>
  <c r="N59" i="11"/>
  <c r="O59" i="11"/>
  <c r="Q326" i="6"/>
  <c r="F317" i="6"/>
  <c r="H317" i="6"/>
  <c r="K115" i="11"/>
  <c r="L115" i="11"/>
  <c r="T2236" i="1"/>
  <c r="K182" i="11"/>
  <c r="L182" i="11"/>
  <c r="K108" i="11"/>
  <c r="L108" i="11"/>
  <c r="G41" i="11"/>
  <c r="F170" i="11"/>
  <c r="I170" i="11"/>
  <c r="K103" i="11"/>
  <c r="L103" i="11"/>
  <c r="G172" i="10"/>
  <c r="I172" i="10"/>
  <c r="R2236" i="1"/>
  <c r="F197" i="10"/>
  <c r="G112" i="10"/>
  <c r="D169" i="10"/>
  <c r="K49" i="11"/>
  <c r="L49" i="11"/>
  <c r="J131" i="10"/>
  <c r="M131" i="10"/>
  <c r="J204" i="10"/>
  <c r="N172" i="11"/>
  <c r="O172" i="11"/>
  <c r="L229" i="10"/>
  <c r="F88" i="11"/>
  <c r="I88" i="11"/>
  <c r="E2118" i="1"/>
  <c r="B222" i="10"/>
  <c r="Q2161" i="1"/>
  <c r="N109" i="11"/>
  <c r="O109" i="11"/>
  <c r="K109" i="11"/>
  <c r="L109" i="11"/>
  <c r="N136" i="11"/>
  <c r="O136" i="11"/>
  <c r="K136" i="11"/>
  <c r="L136" i="11"/>
  <c r="M112" i="10"/>
  <c r="B169" i="10"/>
  <c r="G40" i="10"/>
  <c r="I198" i="10"/>
  <c r="E79" i="10"/>
  <c r="I79" i="10"/>
  <c r="N119" i="11"/>
  <c r="O119" i="11"/>
  <c r="K119" i="11"/>
  <c r="L119" i="11"/>
  <c r="N165" i="11"/>
  <c r="O165" i="11"/>
  <c r="K165" i="11"/>
  <c r="L165" i="11"/>
  <c r="B37" i="10"/>
  <c r="E2119" i="1"/>
  <c r="U2136" i="1"/>
  <c r="G86" i="11"/>
  <c r="F86" i="11"/>
  <c r="I86" i="11"/>
  <c r="N118" i="11"/>
  <c r="O118" i="11"/>
  <c r="K118" i="11"/>
  <c r="L118" i="11"/>
  <c r="J112" i="10"/>
  <c r="C106" i="10"/>
  <c r="G204" i="10"/>
  <c r="N62" i="11"/>
  <c r="O62" i="11"/>
  <c r="F204" i="10"/>
  <c r="N87" i="11"/>
  <c r="O87" i="11"/>
  <c r="F20" i="11"/>
  <c r="I20" i="11"/>
  <c r="G20" i="11"/>
  <c r="K20" i="11"/>
  <c r="L20" i="11"/>
  <c r="Q2136" i="1"/>
  <c r="G138" i="11"/>
  <c r="N138" i="11"/>
  <c r="O138" i="11"/>
  <c r="F138" i="11"/>
  <c r="I138" i="11"/>
  <c r="R2186" i="1"/>
  <c r="R2261" i="1"/>
  <c r="Z2119" i="1"/>
  <c r="Z2249" i="1"/>
  <c r="Z2164" i="1"/>
  <c r="S2161" i="1"/>
  <c r="F100" i="11"/>
  <c r="I100" i="11"/>
  <c r="Z2230" i="1"/>
  <c r="G105" i="11"/>
  <c r="F105" i="11"/>
  <c r="I105" i="11"/>
  <c r="T2186" i="1"/>
  <c r="G18" i="11"/>
  <c r="F18" i="11"/>
  <c r="I18" i="11"/>
  <c r="N134" i="11"/>
  <c r="O134" i="11"/>
  <c r="K134" i="11"/>
  <c r="L134" i="11"/>
  <c r="J323" i="6"/>
  <c r="K323" i="6"/>
  <c r="K29" i="11"/>
  <c r="L29" i="11"/>
  <c r="N29" i="11"/>
  <c r="O29" i="11"/>
  <c r="B137" i="10"/>
  <c r="M137" i="10"/>
  <c r="C137" i="10"/>
  <c r="L137" i="10"/>
  <c r="K137" i="10"/>
  <c r="J137" i="10"/>
  <c r="H137" i="10"/>
  <c r="I137" i="10"/>
  <c r="D137" i="10"/>
  <c r="D37" i="10"/>
  <c r="E137" i="10"/>
  <c r="D122" i="10"/>
  <c r="C122" i="10"/>
  <c r="I122" i="10"/>
  <c r="M122" i="10"/>
  <c r="H122" i="10"/>
  <c r="L122" i="10"/>
  <c r="E122" i="10"/>
  <c r="J122" i="10"/>
  <c r="B122" i="10"/>
  <c r="K31" i="11"/>
  <c r="L31" i="11"/>
  <c r="N31" i="11"/>
  <c r="O31" i="11"/>
  <c r="B179" i="10"/>
  <c r="I179" i="10"/>
  <c r="G179" i="10"/>
  <c r="H179" i="10"/>
  <c r="F179" i="10"/>
  <c r="M179" i="10"/>
  <c r="F40" i="10"/>
  <c r="L179" i="10"/>
  <c r="N196" i="11"/>
  <c r="O196" i="11"/>
  <c r="K196" i="11"/>
  <c r="L196" i="11"/>
  <c r="K122" i="11"/>
  <c r="L122" i="11"/>
  <c r="N122" i="11"/>
  <c r="O122" i="11"/>
  <c r="K57" i="11"/>
  <c r="L57" i="11"/>
  <c r="N57" i="11"/>
  <c r="O57" i="11"/>
  <c r="M169" i="10"/>
  <c r="L169" i="10"/>
  <c r="C169" i="10"/>
  <c r="I169" i="10"/>
  <c r="E169" i="10"/>
  <c r="G169" i="10"/>
  <c r="E36" i="10"/>
  <c r="F154" i="10"/>
  <c r="L154" i="10"/>
  <c r="E40" i="10"/>
  <c r="J154" i="10"/>
  <c r="K154" i="10"/>
  <c r="B154" i="10"/>
  <c r="F81" i="10"/>
  <c r="D81" i="10"/>
  <c r="J81" i="10"/>
  <c r="L81" i="10"/>
  <c r="H81" i="10"/>
  <c r="Q398" i="6"/>
  <c r="F389" i="6"/>
  <c r="M81" i="10"/>
  <c r="Q422" i="6"/>
  <c r="F413" i="6"/>
  <c r="L237" i="10"/>
  <c r="H237" i="10"/>
  <c r="B237" i="10"/>
  <c r="J237" i="10"/>
  <c r="H37" i="10"/>
  <c r="I81" i="10"/>
  <c r="K73" i="11"/>
  <c r="L73" i="11"/>
  <c r="N73" i="11"/>
  <c r="O73" i="11"/>
  <c r="Y2086" i="1"/>
  <c r="F106" i="10"/>
  <c r="B106" i="10"/>
  <c r="K106" i="10"/>
  <c r="M106" i="10"/>
  <c r="J106" i="10"/>
  <c r="G80" i="10"/>
  <c r="Q325" i="6"/>
  <c r="L80" i="10"/>
  <c r="F80" i="10"/>
  <c r="Q397" i="6"/>
  <c r="C52" i="10"/>
  <c r="K32" i="11"/>
  <c r="L32" i="11"/>
  <c r="N32" i="11"/>
  <c r="O32" i="11"/>
  <c r="G154" i="10"/>
  <c r="Q396" i="6"/>
  <c r="F395" i="6"/>
  <c r="Q348" i="6"/>
  <c r="F347" i="6"/>
  <c r="G79" i="10"/>
  <c r="J79" i="10"/>
  <c r="M79" i="10"/>
  <c r="F79" i="10"/>
  <c r="C40" i="10"/>
  <c r="Q302" i="6"/>
  <c r="F293" i="6"/>
  <c r="C154" i="10"/>
  <c r="F237" i="10"/>
  <c r="K112" i="10"/>
  <c r="L112" i="10"/>
  <c r="F112" i="10"/>
  <c r="F206" i="10"/>
  <c r="K206" i="10"/>
  <c r="D206" i="10"/>
  <c r="G206" i="10"/>
  <c r="C206" i="10"/>
  <c r="J206" i="10"/>
  <c r="G81" i="10"/>
  <c r="K81" i="10"/>
  <c r="K148" i="11"/>
  <c r="L148" i="11"/>
  <c r="Q350" i="6"/>
  <c r="F341" i="6"/>
  <c r="G27" i="11"/>
  <c r="G28" i="11"/>
  <c r="K169" i="11"/>
  <c r="L169" i="11"/>
  <c r="N169" i="11"/>
  <c r="O169" i="11"/>
  <c r="G72" i="10"/>
  <c r="K72" i="10"/>
  <c r="F72" i="10"/>
  <c r="E156" i="10"/>
  <c r="C156" i="10"/>
  <c r="G156" i="10"/>
  <c r="D156" i="10"/>
  <c r="Q404" i="6"/>
  <c r="F87" i="10"/>
  <c r="L87" i="10"/>
  <c r="T2261" i="1"/>
  <c r="F195" i="11"/>
  <c r="I195" i="11"/>
  <c r="N52" i="11"/>
  <c r="O52" i="11"/>
  <c r="K52" i="11"/>
  <c r="L52" i="11"/>
  <c r="I212" i="10"/>
  <c r="K202" i="11"/>
  <c r="L202" i="11"/>
  <c r="G147" i="10"/>
  <c r="L147" i="10"/>
  <c r="B147" i="10"/>
  <c r="N179" i="11"/>
  <c r="O179" i="11"/>
  <c r="K179" i="11"/>
  <c r="L179" i="11"/>
  <c r="H36" i="10"/>
  <c r="H229" i="10"/>
  <c r="H40" i="10"/>
  <c r="F229" i="10"/>
  <c r="G26" i="11"/>
  <c r="E2094" i="1"/>
  <c r="J229" i="10"/>
  <c r="K104" i="10"/>
  <c r="G104" i="10"/>
  <c r="B36" i="10"/>
  <c r="B40" i="10"/>
  <c r="F172" i="10"/>
  <c r="C172" i="10"/>
  <c r="N10" i="11"/>
  <c r="O10" i="11"/>
  <c r="K10" i="11"/>
  <c r="L10" i="11"/>
  <c r="K204" i="10"/>
  <c r="B204" i="10"/>
  <c r="C204" i="10"/>
  <c r="I204" i="10"/>
  <c r="G11" i="11"/>
  <c r="T2111" i="1"/>
  <c r="Q2111" i="1"/>
  <c r="R2111" i="1"/>
  <c r="G17" i="11"/>
  <c r="F17" i="11"/>
  <c r="I17" i="11"/>
  <c r="Z2192" i="1"/>
  <c r="H48" i="10"/>
  <c r="S2236" i="1"/>
  <c r="S2261" i="1"/>
  <c r="N194" i="11"/>
  <c r="O194" i="11"/>
  <c r="K194" i="11"/>
  <c r="L194" i="11"/>
  <c r="U2192" i="1"/>
  <c r="U2211" i="1"/>
  <c r="G42" i="11"/>
  <c r="F53" i="11"/>
  <c r="U2092" i="1"/>
  <c r="U2111" i="1"/>
  <c r="M129" i="10"/>
  <c r="M156" i="10"/>
  <c r="Q420" i="6"/>
  <c r="F419" i="6"/>
  <c r="J419" i="6"/>
  <c r="K419" i="6"/>
  <c r="K200" i="11"/>
  <c r="L200" i="11"/>
  <c r="E154" i="10"/>
  <c r="M155" i="10"/>
  <c r="C155" i="10"/>
  <c r="L130" i="10"/>
  <c r="I153" i="11"/>
  <c r="B144" i="11"/>
  <c r="C36" i="16"/>
  <c r="C37" i="10"/>
  <c r="Q387" i="6"/>
  <c r="F397" i="6"/>
  <c r="B129" i="10"/>
  <c r="N56" i="11"/>
  <c r="O56" i="11"/>
  <c r="K155" i="10"/>
  <c r="L155" i="10"/>
  <c r="I63" i="11"/>
  <c r="B54" i="11"/>
  <c r="C18" i="16"/>
  <c r="H18" i="16"/>
  <c r="E69" i="10"/>
  <c r="F155" i="10"/>
  <c r="D155" i="10"/>
  <c r="E52" i="10"/>
  <c r="Q290" i="6"/>
  <c r="K197" i="11"/>
  <c r="L197" i="11"/>
  <c r="K190" i="11"/>
  <c r="L190" i="11"/>
  <c r="H131" i="10"/>
  <c r="Q338" i="6"/>
  <c r="N58" i="11"/>
  <c r="O58" i="11"/>
  <c r="K145" i="11"/>
  <c r="L145" i="11"/>
  <c r="L153" i="11"/>
  <c r="B134" i="11"/>
  <c r="B131" i="10"/>
  <c r="I181" i="10"/>
  <c r="I131" i="10"/>
  <c r="D53" i="13" a="1"/>
  <c r="D53" i="13"/>
  <c r="C131" i="10"/>
  <c r="F114" i="13"/>
  <c r="D69" i="10"/>
  <c r="J162" i="10"/>
  <c r="B162" i="10"/>
  <c r="F69" i="10"/>
  <c r="K166" i="11"/>
  <c r="L166" i="11"/>
  <c r="L173" i="11"/>
  <c r="B162" i="11"/>
  <c r="L162" i="10"/>
  <c r="M162" i="10"/>
  <c r="K12" i="11"/>
  <c r="L12" i="11"/>
  <c r="N135" i="11"/>
  <c r="O135" i="11"/>
  <c r="F162" i="10"/>
  <c r="J69" i="10"/>
  <c r="E162" i="10"/>
  <c r="F42" i="13"/>
  <c r="F45" i="13"/>
  <c r="C45" i="13" a="1"/>
  <c r="C45" i="13"/>
  <c r="K162" i="10"/>
  <c r="G162" i="10"/>
  <c r="F90" i="13"/>
  <c r="F93" i="13"/>
  <c r="I69" i="10"/>
  <c r="E37" i="10"/>
  <c r="C145" i="10"/>
  <c r="F102" i="13"/>
  <c r="F66" i="13"/>
  <c r="Q386" i="6"/>
  <c r="M69" i="10"/>
  <c r="D162" i="10"/>
  <c r="I87" i="10"/>
  <c r="Q413" i="6"/>
  <c r="F412" i="6"/>
  <c r="H412" i="6"/>
  <c r="D235" i="10"/>
  <c r="H87" i="10"/>
  <c r="Q389" i="6"/>
  <c r="F388" i="6"/>
  <c r="H388" i="6"/>
  <c r="J72" i="10"/>
  <c r="K147" i="10"/>
  <c r="G69" i="10"/>
  <c r="F18" i="13"/>
  <c r="F21" i="13"/>
  <c r="M87" i="10"/>
  <c r="L160" i="10"/>
  <c r="Q428" i="6"/>
  <c r="L72" i="10"/>
  <c r="Q365" i="6"/>
  <c r="F364" i="6"/>
  <c r="M364" i="6"/>
  <c r="N364" i="6"/>
  <c r="C147" i="10"/>
  <c r="Q314" i="6"/>
  <c r="F54" i="13"/>
  <c r="F57" i="13"/>
  <c r="D87" i="10"/>
  <c r="J160" i="10"/>
  <c r="H323" i="6"/>
  <c r="K87" i="10"/>
  <c r="Q332" i="6"/>
  <c r="E87" i="10"/>
  <c r="Q341" i="6"/>
  <c r="F340" i="6"/>
  <c r="J340" i="6"/>
  <c r="K340" i="6"/>
  <c r="M147" i="10"/>
  <c r="K199" i="11"/>
  <c r="L199" i="11"/>
  <c r="Q380" i="6"/>
  <c r="H72" i="10"/>
  <c r="J147" i="10"/>
  <c r="E147" i="10"/>
  <c r="G87" i="10"/>
  <c r="Q308" i="6"/>
  <c r="M72" i="10"/>
  <c r="H69" i="10"/>
  <c r="D160" i="10"/>
  <c r="Q356" i="6"/>
  <c r="Q410" i="6"/>
  <c r="I72" i="10"/>
  <c r="Q362" i="6"/>
  <c r="G160" i="10"/>
  <c r="K130" i="10"/>
  <c r="H129" i="10"/>
  <c r="L129" i="10"/>
  <c r="K129" i="10"/>
  <c r="M130" i="10"/>
  <c r="H212" i="10"/>
  <c r="N19" i="11"/>
  <c r="O19" i="11"/>
  <c r="D52" i="10"/>
  <c r="M135" i="10"/>
  <c r="I203" i="11"/>
  <c r="B190" i="11"/>
  <c r="E129" i="10"/>
  <c r="G212" i="10"/>
  <c r="K212" i="10"/>
  <c r="J129" i="10"/>
  <c r="J130" i="10"/>
  <c r="E212" i="10"/>
  <c r="D129" i="10"/>
  <c r="D20" i="13" a="1"/>
  <c r="D20" i="13"/>
  <c r="C212" i="10"/>
  <c r="J212" i="10"/>
  <c r="G181" i="10"/>
  <c r="D41" i="13" a="1"/>
  <c r="D41" i="13"/>
  <c r="D40" i="10"/>
  <c r="H123" i="10"/>
  <c r="B130" i="10"/>
  <c r="I130" i="10"/>
  <c r="F212" i="10"/>
  <c r="C130" i="10"/>
  <c r="D36" i="10"/>
  <c r="B119" i="10"/>
  <c r="O153" i="11"/>
  <c r="B135" i="11"/>
  <c r="I129" i="10"/>
  <c r="D56" i="13" a="1"/>
  <c r="D56" i="13"/>
  <c r="H130" i="10"/>
  <c r="K194" i="10"/>
  <c r="D130" i="10"/>
  <c r="B39" i="10"/>
  <c r="B50" i="10"/>
  <c r="L181" i="10"/>
  <c r="D181" i="10"/>
  <c r="B105" i="10"/>
  <c r="F105" i="10"/>
  <c r="B181" i="10"/>
  <c r="G105" i="10"/>
  <c r="M105" i="10"/>
  <c r="F78" i="13"/>
  <c r="I105" i="10"/>
  <c r="G37" i="10"/>
  <c r="F181" i="10"/>
  <c r="H105" i="10"/>
  <c r="B52" i="10"/>
  <c r="M110" i="10"/>
  <c r="L105" i="10"/>
  <c r="J105" i="10"/>
  <c r="M181" i="10"/>
  <c r="D77" i="13" a="1"/>
  <c r="D77" i="13"/>
  <c r="C105" i="10"/>
  <c r="K75" i="11"/>
  <c r="L75" i="11"/>
  <c r="C181" i="10"/>
  <c r="E181" i="10"/>
  <c r="D17" i="13" a="1"/>
  <c r="D17" i="13"/>
  <c r="I123" i="11"/>
  <c r="B114" i="11"/>
  <c r="C27" i="16"/>
  <c r="H27" i="16"/>
  <c r="H419" i="6"/>
  <c r="I33" i="11"/>
  <c r="B24" i="11"/>
  <c r="C21" i="16"/>
  <c r="H21" i="16"/>
  <c r="E64" i="13" a="1"/>
  <c r="E64" i="13"/>
  <c r="F248" i="6"/>
  <c r="H248" i="6"/>
  <c r="J317" i="6"/>
  <c r="K317" i="6"/>
  <c r="I143" i="11"/>
  <c r="B130" i="11"/>
  <c r="M317" i="6"/>
  <c r="N317" i="6"/>
  <c r="K138" i="11"/>
  <c r="L138" i="11"/>
  <c r="M365" i="6"/>
  <c r="N365" i="6"/>
  <c r="H365" i="6"/>
  <c r="E41" i="13" a="1"/>
  <c r="E41" i="13"/>
  <c r="F213" i="6"/>
  <c r="H213" i="6"/>
  <c r="K21" i="11"/>
  <c r="L21" i="11"/>
  <c r="E194" i="10"/>
  <c r="G194" i="10"/>
  <c r="I53" i="11"/>
  <c r="B40" i="11"/>
  <c r="K206" i="11"/>
  <c r="L206" i="11"/>
  <c r="H194" i="10"/>
  <c r="K208" i="11"/>
  <c r="L208" i="11"/>
  <c r="D194" i="10"/>
  <c r="I23" i="11"/>
  <c r="B10" i="11"/>
  <c r="E80" i="13" a="1"/>
  <c r="E80" i="13"/>
  <c r="F273" i="6"/>
  <c r="M273" i="6"/>
  <c r="N273" i="6"/>
  <c r="C194" i="10"/>
  <c r="B53" i="13" a="1"/>
  <c r="B53" i="13"/>
  <c r="K45" i="11"/>
  <c r="L45" i="11"/>
  <c r="H364" i="6"/>
  <c r="B194" i="10"/>
  <c r="K48" i="11"/>
  <c r="L48" i="11"/>
  <c r="I113" i="11"/>
  <c r="B100" i="11"/>
  <c r="N15" i="11"/>
  <c r="O15" i="11"/>
  <c r="N55" i="11"/>
  <c r="O55" i="11"/>
  <c r="K55" i="11"/>
  <c r="L55" i="11"/>
  <c r="L63" i="11"/>
  <c r="B44" i="11"/>
  <c r="N139" i="11"/>
  <c r="O139" i="11"/>
  <c r="K139" i="11"/>
  <c r="L139" i="11"/>
  <c r="K117" i="11"/>
  <c r="L117" i="11"/>
  <c r="L123" i="11"/>
  <c r="B104" i="11"/>
  <c r="N117" i="11"/>
  <c r="O117" i="11"/>
  <c r="I83" i="11"/>
  <c r="B70" i="11"/>
  <c r="F105" i="13"/>
  <c r="E105" i="13" a="1"/>
  <c r="E105" i="13"/>
  <c r="H105" i="13"/>
  <c r="E102" i="13" a="1"/>
  <c r="E102" i="13"/>
  <c r="H102" i="13"/>
  <c r="D32" i="13" a="1"/>
  <c r="D32" i="13"/>
  <c r="N85" i="11"/>
  <c r="O85" i="11"/>
  <c r="O213" i="11"/>
  <c r="B195" i="11"/>
  <c r="H208" i="10"/>
  <c r="J208" i="10"/>
  <c r="C208" i="10"/>
  <c r="K14" i="11"/>
  <c r="L14" i="11"/>
  <c r="N14" i="11"/>
  <c r="O14" i="11"/>
  <c r="B77" i="13" a="1"/>
  <c r="B77" i="13"/>
  <c r="F208" i="10"/>
  <c r="G208" i="10"/>
  <c r="O173" i="11"/>
  <c r="B163" i="11"/>
  <c r="K208" i="10"/>
  <c r="E20" i="13" a="1"/>
  <c r="E20" i="13"/>
  <c r="F201" i="6"/>
  <c r="H201" i="6"/>
  <c r="L235" i="10"/>
  <c r="B235" i="10"/>
  <c r="J235" i="10"/>
  <c r="C66" i="13" a="1"/>
  <c r="C66" i="13"/>
  <c r="H235" i="10"/>
  <c r="D198" i="10"/>
  <c r="E208" i="10"/>
  <c r="D208" i="10"/>
  <c r="B16" i="13" a="1"/>
  <c r="B16" i="13"/>
  <c r="N50" i="11"/>
  <c r="O50" i="11"/>
  <c r="K50" i="11"/>
  <c r="L50" i="11"/>
  <c r="I208" i="10"/>
  <c r="F198" i="10"/>
  <c r="N177" i="11"/>
  <c r="O177" i="11"/>
  <c r="K177" i="11"/>
  <c r="L177" i="11"/>
  <c r="E114" i="13" a="1"/>
  <c r="E114" i="13"/>
  <c r="H114" i="13"/>
  <c r="F117" i="13"/>
  <c r="E117" i="13" a="1"/>
  <c r="E117" i="13"/>
  <c r="H117" i="13"/>
  <c r="N16" i="11"/>
  <c r="O16" i="11"/>
  <c r="K16" i="11"/>
  <c r="L16" i="11"/>
  <c r="N175" i="11"/>
  <c r="O175" i="11"/>
  <c r="K175" i="11"/>
  <c r="L175" i="11"/>
  <c r="I93" i="11"/>
  <c r="B84" i="11"/>
  <c r="C24" i="16"/>
  <c r="H24" i="16"/>
  <c r="I173" i="11"/>
  <c r="B160" i="11"/>
  <c r="K110" i="11"/>
  <c r="L110" i="11"/>
  <c r="N110" i="11"/>
  <c r="O110" i="11"/>
  <c r="I194" i="10"/>
  <c r="J194" i="10"/>
  <c r="I222" i="11"/>
  <c r="J46" i="10"/>
  <c r="B208" i="10"/>
  <c r="K106" i="11"/>
  <c r="L106" i="11"/>
  <c r="N106" i="11"/>
  <c r="O106" i="11"/>
  <c r="N72" i="11"/>
  <c r="O72" i="11"/>
  <c r="O83" i="11"/>
  <c r="B73" i="11"/>
  <c r="K72" i="11"/>
  <c r="L72" i="11"/>
  <c r="N20" i="11"/>
  <c r="O20" i="11"/>
  <c r="N44" i="11"/>
  <c r="O44" i="11"/>
  <c r="K44" i="11"/>
  <c r="L44" i="11"/>
  <c r="O203" i="11"/>
  <c r="B193" i="11"/>
  <c r="E52" i="13" a="1"/>
  <c r="E52" i="13"/>
  <c r="F230" i="6"/>
  <c r="M230" i="6"/>
  <c r="N230" i="6"/>
  <c r="E53" i="13" a="1"/>
  <c r="E53" i="13"/>
  <c r="F231" i="6"/>
  <c r="M231" i="6"/>
  <c r="N231" i="6"/>
  <c r="K119" i="10"/>
  <c r="C119" i="10"/>
  <c r="H119" i="10"/>
  <c r="E119" i="10"/>
  <c r="M119" i="10"/>
  <c r="L119" i="10"/>
  <c r="D119" i="10"/>
  <c r="D68" i="13" a="1"/>
  <c r="D68" i="13"/>
  <c r="H316" i="6"/>
  <c r="J316" i="6"/>
  <c r="K316" i="6"/>
  <c r="M316" i="6"/>
  <c r="N316" i="6"/>
  <c r="D65" i="13" a="1"/>
  <c r="D65" i="13"/>
  <c r="K86" i="11"/>
  <c r="L86" i="11"/>
  <c r="L93" i="11"/>
  <c r="B74" i="11"/>
  <c r="N86" i="11"/>
  <c r="O86" i="11"/>
  <c r="C28" i="13" a="1"/>
  <c r="C28" i="13"/>
  <c r="E88" i="13" a="1"/>
  <c r="E88" i="13"/>
  <c r="H88" i="13"/>
  <c r="F92" i="6"/>
  <c r="J388" i="6"/>
  <c r="K388" i="6"/>
  <c r="M388" i="6"/>
  <c r="N388" i="6"/>
  <c r="G145" i="10"/>
  <c r="J145" i="10"/>
  <c r="K145" i="10"/>
  <c r="H95" i="10"/>
  <c r="F95" i="10"/>
  <c r="I95" i="10"/>
  <c r="J95" i="10"/>
  <c r="K95" i="10"/>
  <c r="B95" i="10"/>
  <c r="G95" i="10"/>
  <c r="L95" i="10"/>
  <c r="M95" i="10"/>
  <c r="C95" i="10"/>
  <c r="C198" i="10"/>
  <c r="K198" i="10"/>
  <c r="H198" i="10"/>
  <c r="J198" i="10"/>
  <c r="B198" i="10"/>
  <c r="G198" i="10"/>
  <c r="E198" i="10"/>
  <c r="N41" i="11"/>
  <c r="O41" i="11"/>
  <c r="K41" i="11"/>
  <c r="L41" i="11"/>
  <c r="D123" i="10"/>
  <c r="E123" i="10"/>
  <c r="K123" i="10"/>
  <c r="I123" i="10"/>
  <c r="J123" i="10"/>
  <c r="L123" i="10"/>
  <c r="B123" i="10"/>
  <c r="B68" i="13" a="1"/>
  <c r="B68" i="13"/>
  <c r="O123" i="11"/>
  <c r="B105" i="11"/>
  <c r="M371" i="6"/>
  <c r="N371" i="6"/>
  <c r="J371" i="6"/>
  <c r="K371" i="6"/>
  <c r="H371" i="6"/>
  <c r="J292" i="6"/>
  <c r="K292" i="6"/>
  <c r="M292" i="6"/>
  <c r="N292" i="6"/>
  <c r="H292" i="6"/>
  <c r="H231" i="10"/>
  <c r="C53" i="13" a="1"/>
  <c r="C53" i="13"/>
  <c r="L231" i="10"/>
  <c r="C77" i="13" a="1"/>
  <c r="C77" i="13"/>
  <c r="D231" i="10"/>
  <c r="C17" i="13" a="1"/>
  <c r="C17" i="13"/>
  <c r="J231" i="10"/>
  <c r="C65" i="13" a="1"/>
  <c r="C65" i="13"/>
  <c r="F231" i="10"/>
  <c r="C41" i="13" a="1"/>
  <c r="C41" i="13"/>
  <c r="B231" i="10"/>
  <c r="M293" i="6"/>
  <c r="N293" i="6"/>
  <c r="J293" i="6"/>
  <c r="K293" i="6"/>
  <c r="H293" i="6"/>
  <c r="D44" i="13" a="1"/>
  <c r="D44" i="13"/>
  <c r="E40" i="13" a="1"/>
  <c r="E40" i="13"/>
  <c r="F212" i="6"/>
  <c r="H273" i="6"/>
  <c r="N28" i="11"/>
  <c r="O28" i="11"/>
  <c r="K28" i="11"/>
  <c r="L28" i="11"/>
  <c r="K17" i="11"/>
  <c r="L17" i="11"/>
  <c r="N17" i="11"/>
  <c r="O17" i="11"/>
  <c r="H98" i="10"/>
  <c r="F98" i="10"/>
  <c r="M98" i="10"/>
  <c r="C98" i="10"/>
  <c r="L98" i="10"/>
  <c r="G98" i="10"/>
  <c r="B98" i="10"/>
  <c r="I98" i="10"/>
  <c r="K98" i="10"/>
  <c r="J98" i="10"/>
  <c r="K26" i="11"/>
  <c r="L26" i="11"/>
  <c r="N26" i="11"/>
  <c r="O26" i="11"/>
  <c r="Q315" i="6"/>
  <c r="G70" i="10"/>
  <c r="E70" i="10"/>
  <c r="J70" i="10"/>
  <c r="I70" i="10"/>
  <c r="K70" i="10"/>
  <c r="M70" i="10"/>
  <c r="Q363" i="6"/>
  <c r="F373" i="6"/>
  <c r="Q339" i="6"/>
  <c r="F349" i="6"/>
  <c r="L70" i="10"/>
  <c r="F70" i="10"/>
  <c r="D70" i="10"/>
  <c r="N27" i="11"/>
  <c r="O27" i="11"/>
  <c r="K27" i="11"/>
  <c r="L27" i="11"/>
  <c r="E77" i="13" a="1"/>
  <c r="E77" i="13"/>
  <c r="F267" i="6"/>
  <c r="I110" i="10"/>
  <c r="J110" i="10"/>
  <c r="B110" i="10"/>
  <c r="G110" i="10"/>
  <c r="C110" i="10"/>
  <c r="L110" i="10"/>
  <c r="C21" i="13" a="1"/>
  <c r="C21" i="13"/>
  <c r="M395" i="6"/>
  <c r="N395" i="6"/>
  <c r="H395" i="6"/>
  <c r="J395" i="6"/>
  <c r="K395" i="6"/>
  <c r="B220" i="10"/>
  <c r="J220" i="10"/>
  <c r="L220" i="10"/>
  <c r="D220" i="10"/>
  <c r="F220" i="10"/>
  <c r="H220" i="10"/>
  <c r="C148" i="10"/>
  <c r="J148" i="10"/>
  <c r="F148" i="10"/>
  <c r="M148" i="10"/>
  <c r="B148" i="10"/>
  <c r="L148" i="10"/>
  <c r="D148" i="10"/>
  <c r="E148" i="10"/>
  <c r="G148" i="10"/>
  <c r="K148" i="10"/>
  <c r="H36" i="16"/>
  <c r="B56" i="13" a="1"/>
  <c r="B56" i="13"/>
  <c r="C42" i="13" a="1"/>
  <c r="C42" i="13"/>
  <c r="M389" i="6"/>
  <c r="N389" i="6"/>
  <c r="J389" i="6"/>
  <c r="K389" i="6"/>
  <c r="H389" i="6"/>
  <c r="L203" i="11"/>
  <c r="B192" i="11"/>
  <c r="H94" i="10"/>
  <c r="B94" i="10"/>
  <c r="C94" i="10"/>
  <c r="L94" i="10"/>
  <c r="K94" i="10"/>
  <c r="M94" i="10"/>
  <c r="F94" i="10"/>
  <c r="G94" i="10"/>
  <c r="J94" i="10"/>
  <c r="I94" i="10"/>
  <c r="E92" i="13" a="1"/>
  <c r="E92" i="13"/>
  <c r="H92" i="13"/>
  <c r="F99" i="6"/>
  <c r="B80" i="13" a="1"/>
  <c r="B80" i="13"/>
  <c r="N105" i="11"/>
  <c r="O105" i="11"/>
  <c r="K105" i="11"/>
  <c r="L105" i="11"/>
  <c r="M347" i="6"/>
  <c r="N347" i="6"/>
  <c r="J347" i="6"/>
  <c r="K347" i="6"/>
  <c r="H347" i="6"/>
  <c r="L223" i="10"/>
  <c r="J223" i="10"/>
  <c r="H223" i="10"/>
  <c r="F223" i="10"/>
  <c r="D223" i="10"/>
  <c r="B223" i="10"/>
  <c r="J412" i="6"/>
  <c r="K412" i="6"/>
  <c r="M412" i="6"/>
  <c r="N412" i="6"/>
  <c r="Q342" i="6"/>
  <c r="F350" i="6"/>
  <c r="E73" i="10"/>
  <c r="J73" i="10"/>
  <c r="F73" i="10"/>
  <c r="L73" i="10"/>
  <c r="H73" i="10"/>
  <c r="Q318" i="6"/>
  <c r="G73" i="10"/>
  <c r="Q390" i="6"/>
  <c r="Q414" i="6"/>
  <c r="F422" i="6"/>
  <c r="I73" i="10"/>
  <c r="D73" i="10"/>
  <c r="M73" i="10"/>
  <c r="K73" i="10"/>
  <c r="Q294" i="6"/>
  <c r="F302" i="6"/>
  <c r="Q366" i="6"/>
  <c r="Q306" i="6"/>
  <c r="M85" i="10"/>
  <c r="Q378" i="6"/>
  <c r="E85" i="10"/>
  <c r="Q402" i="6"/>
  <c r="F390" i="6"/>
  <c r="L85" i="10"/>
  <c r="G85" i="10"/>
  <c r="J85" i="10"/>
  <c r="Q426" i="6"/>
  <c r="H85" i="10"/>
  <c r="F85" i="10"/>
  <c r="K85" i="10"/>
  <c r="Q330" i="6"/>
  <c r="F318" i="6"/>
  <c r="Q354" i="6"/>
  <c r="I85" i="10"/>
  <c r="D85" i="10"/>
  <c r="B65" i="13" a="1"/>
  <c r="B65" i="13"/>
  <c r="D120" i="10"/>
  <c r="H120" i="10"/>
  <c r="B120" i="10"/>
  <c r="M120" i="10"/>
  <c r="E120" i="10"/>
  <c r="I120" i="10"/>
  <c r="J120" i="10"/>
  <c r="C120" i="10"/>
  <c r="L120" i="10"/>
  <c r="K120" i="10"/>
  <c r="J248" i="6"/>
  <c r="K248" i="6"/>
  <c r="M248" i="6"/>
  <c r="N248" i="6"/>
  <c r="I221" i="11"/>
  <c r="J37" i="10"/>
  <c r="M413" i="6"/>
  <c r="N413" i="6"/>
  <c r="J413" i="6"/>
  <c r="K413" i="6"/>
  <c r="H413" i="6"/>
  <c r="E56" i="13" a="1"/>
  <c r="E56" i="13"/>
  <c r="F237" i="6"/>
  <c r="B32" i="13" a="1"/>
  <c r="B32" i="13"/>
  <c r="B173" i="10"/>
  <c r="F173" i="10"/>
  <c r="E173" i="10"/>
  <c r="D173" i="10"/>
  <c r="L173" i="10"/>
  <c r="G173" i="10"/>
  <c r="M173" i="10"/>
  <c r="I173" i="10"/>
  <c r="H173" i="10"/>
  <c r="C173" i="10"/>
  <c r="N42" i="11"/>
  <c r="O42" i="11"/>
  <c r="K42" i="11"/>
  <c r="L42" i="11"/>
  <c r="E65" i="13" a="1"/>
  <c r="E65" i="13"/>
  <c r="F249" i="6"/>
  <c r="M341" i="6"/>
  <c r="N341" i="6"/>
  <c r="J341" i="6"/>
  <c r="K341" i="6"/>
  <c r="H341" i="6"/>
  <c r="B44" i="13" a="1"/>
  <c r="B44" i="13"/>
  <c r="E32" i="13" a="1"/>
  <c r="E32" i="13"/>
  <c r="F183" i="6"/>
  <c r="E17" i="13" a="1"/>
  <c r="E17" i="13"/>
  <c r="F195" i="6"/>
  <c r="B29" i="13" a="1"/>
  <c r="B29" i="13"/>
  <c r="E29" i="13" a="1"/>
  <c r="E29" i="13"/>
  <c r="F177" i="6"/>
  <c r="B17" i="13" a="1"/>
  <c r="B17" i="13"/>
  <c r="D144" i="10"/>
  <c r="E144" i="10"/>
  <c r="J144" i="10"/>
  <c r="G144" i="10"/>
  <c r="C144" i="10"/>
  <c r="L144" i="10"/>
  <c r="B144" i="10"/>
  <c r="M144" i="10"/>
  <c r="F144" i="10"/>
  <c r="K144" i="10"/>
  <c r="E68" i="13" a="1"/>
  <c r="E68" i="13"/>
  <c r="F255" i="6"/>
  <c r="N18" i="11"/>
  <c r="O18" i="11"/>
  <c r="K18" i="11"/>
  <c r="L18" i="11"/>
  <c r="K11" i="11"/>
  <c r="L11" i="11"/>
  <c r="N11" i="11"/>
  <c r="O11" i="11"/>
  <c r="F219" i="10"/>
  <c r="L219" i="10"/>
  <c r="J219" i="10"/>
  <c r="B219" i="10"/>
  <c r="D219" i="10"/>
  <c r="C23" i="13" a="1"/>
  <c r="C23" i="13"/>
  <c r="H219" i="10"/>
  <c r="E66" i="13" a="1"/>
  <c r="E66" i="13"/>
  <c r="F250" i="6"/>
  <c r="F69" i="13"/>
  <c r="D80" i="13" a="1"/>
  <c r="D80" i="13"/>
  <c r="F110" i="10"/>
  <c r="H70" i="10"/>
  <c r="Q411" i="6"/>
  <c r="F421" i="6"/>
  <c r="C123" i="10"/>
  <c r="I119" i="10"/>
  <c r="J119" i="10"/>
  <c r="K110" i="10"/>
  <c r="H110" i="10"/>
  <c r="Q291" i="6"/>
  <c r="M123" i="10"/>
  <c r="D145" i="10"/>
  <c r="M419" i="6"/>
  <c r="N419" i="6"/>
  <c r="C18" i="13" a="1"/>
  <c r="C18" i="13"/>
  <c r="B145" i="10"/>
  <c r="O63" i="11"/>
  <c r="B45" i="11"/>
  <c r="L145" i="10"/>
  <c r="E145" i="10"/>
  <c r="M145" i="10"/>
  <c r="F145" i="10"/>
  <c r="F160" i="10"/>
  <c r="E160" i="10"/>
  <c r="C160" i="10"/>
  <c r="B160" i="10"/>
  <c r="M160" i="10"/>
  <c r="K160" i="10"/>
  <c r="F325" i="6"/>
  <c r="H340" i="6"/>
  <c r="D29" i="13" a="1"/>
  <c r="D29" i="13"/>
  <c r="F398" i="6"/>
  <c r="H231" i="6"/>
  <c r="J231" i="6"/>
  <c r="K231" i="6"/>
  <c r="J201" i="6"/>
  <c r="K201" i="6"/>
  <c r="O143" i="11"/>
  <c r="B133" i="11"/>
  <c r="J273" i="6"/>
  <c r="K273" i="6"/>
  <c r="E28" i="13" a="1"/>
  <c r="E28" i="13"/>
  <c r="F176" i="6"/>
  <c r="M176" i="6"/>
  <c r="N176" i="6"/>
  <c r="J230" i="6"/>
  <c r="K230" i="6"/>
  <c r="H230" i="6"/>
  <c r="L83" i="11"/>
  <c r="B72" i="11"/>
  <c r="E44" i="13" a="1"/>
  <c r="E44" i="13"/>
  <c r="F219" i="6"/>
  <c r="B135" i="10"/>
  <c r="C135" i="10"/>
  <c r="F374" i="6"/>
  <c r="H135" i="10"/>
  <c r="B54" i="13" a="1"/>
  <c r="B54" i="13"/>
  <c r="D16" i="13" a="1"/>
  <c r="D16" i="13"/>
  <c r="F326" i="6"/>
  <c r="F301" i="6"/>
  <c r="J364" i="6"/>
  <c r="K364" i="6"/>
  <c r="M340" i="6"/>
  <c r="N340" i="6"/>
  <c r="O113" i="11"/>
  <c r="B103" i="11"/>
  <c r="L143" i="11"/>
  <c r="B132" i="11"/>
  <c r="I135" i="10"/>
  <c r="D135" i="10"/>
  <c r="M213" i="6"/>
  <c r="N213" i="6"/>
  <c r="E135" i="10"/>
  <c r="J135" i="10"/>
  <c r="J213" i="6"/>
  <c r="K213" i="6"/>
  <c r="L135" i="10"/>
  <c r="B20" i="13" a="1"/>
  <c r="B20" i="13"/>
  <c r="K135" i="10"/>
  <c r="I223" i="11"/>
  <c r="B220" i="11"/>
  <c r="C42" i="16"/>
  <c r="J195" i="10"/>
  <c r="C195" i="10"/>
  <c r="I195" i="10"/>
  <c r="H195" i="10"/>
  <c r="D195" i="10"/>
  <c r="B22" i="13" a="1"/>
  <c r="B22" i="13"/>
  <c r="G195" i="10"/>
  <c r="D46" i="13" a="1"/>
  <c r="D46" i="13"/>
  <c r="B195" i="10"/>
  <c r="E195" i="10"/>
  <c r="F195" i="10"/>
  <c r="B41" i="13" a="1"/>
  <c r="B41" i="13"/>
  <c r="K195" i="10"/>
  <c r="F81" i="13"/>
  <c r="E81" i="13" a="1"/>
  <c r="E81" i="13"/>
  <c r="F274" i="6"/>
  <c r="E78" i="13" a="1"/>
  <c r="E78" i="13"/>
  <c r="F268" i="6"/>
  <c r="I108" i="10"/>
  <c r="F108" i="10"/>
  <c r="B40" i="13" a="1"/>
  <c r="B40" i="13"/>
  <c r="K108" i="10"/>
  <c r="B108" i="10"/>
  <c r="C108" i="10"/>
  <c r="H108" i="10"/>
  <c r="J108" i="10"/>
  <c r="M108" i="10"/>
  <c r="G108" i="10"/>
  <c r="L108" i="10"/>
  <c r="C97" i="10"/>
  <c r="I97" i="10"/>
  <c r="F97" i="10"/>
  <c r="B97" i="10"/>
  <c r="K97" i="10"/>
  <c r="G97" i="10"/>
  <c r="M97" i="10"/>
  <c r="H97" i="10"/>
  <c r="B52" i="13" a="1"/>
  <c r="B52" i="13"/>
  <c r="L97" i="10"/>
  <c r="J97" i="10"/>
  <c r="L213" i="11"/>
  <c r="B194" i="11"/>
  <c r="B189" i="11"/>
  <c r="C32" i="16"/>
  <c r="H32" i="16"/>
  <c r="L113" i="11"/>
  <c r="B102" i="11"/>
  <c r="B99" i="11"/>
  <c r="C26" i="16"/>
  <c r="H26" i="16"/>
  <c r="L183" i="11"/>
  <c r="B164" i="11"/>
  <c r="O183" i="11"/>
  <c r="B165" i="11"/>
  <c r="O93" i="11"/>
  <c r="B75" i="11"/>
  <c r="B69" i="11"/>
  <c r="C23" i="16"/>
  <c r="H23" i="16"/>
  <c r="E18" i="13" a="1"/>
  <c r="E18" i="13"/>
  <c r="F196" i="6"/>
  <c r="H196" i="6"/>
  <c r="M201" i="6"/>
  <c r="N201" i="6"/>
  <c r="E83" i="13" a="1"/>
  <c r="E83" i="13"/>
  <c r="F276" i="6"/>
  <c r="M276" i="6"/>
  <c r="N276" i="6"/>
  <c r="O23" i="11"/>
  <c r="B13" i="11"/>
  <c r="E93" i="13" a="1"/>
  <c r="E93" i="13"/>
  <c r="H93" i="13"/>
  <c r="F100" i="6"/>
  <c r="H100" i="6"/>
  <c r="E76" i="13" a="1"/>
  <c r="E76" i="13"/>
  <c r="F266" i="6"/>
  <c r="H266" i="6"/>
  <c r="C78" i="13" a="1"/>
  <c r="C78" i="13"/>
  <c r="E22" i="13" a="1"/>
  <c r="E22" i="13"/>
  <c r="F203" i="6"/>
  <c r="H203" i="6"/>
  <c r="C47" i="13" a="1"/>
  <c r="C47" i="13"/>
  <c r="D66" i="13" a="1"/>
  <c r="D66" i="13"/>
  <c r="E90" i="13" a="1"/>
  <c r="E90" i="13"/>
  <c r="H90" i="13"/>
  <c r="F94" i="6"/>
  <c r="C57" i="13" a="1"/>
  <c r="C57" i="13"/>
  <c r="C54" i="13" a="1"/>
  <c r="C54" i="13"/>
  <c r="C59" i="13" a="1"/>
  <c r="C59" i="13"/>
  <c r="J281" i="10"/>
  <c r="C68" i="13" a="1"/>
  <c r="C68" i="13"/>
  <c r="H68" i="13"/>
  <c r="F118" i="6"/>
  <c r="L281" i="10"/>
  <c r="C80" i="13" a="1"/>
  <c r="C80" i="13"/>
  <c r="H80" i="13"/>
  <c r="F136" i="6"/>
  <c r="H281" i="10"/>
  <c r="C56" i="13" a="1"/>
  <c r="C56" i="13"/>
  <c r="H56" i="13"/>
  <c r="F81" i="6"/>
  <c r="F281" i="10"/>
  <c r="C44" i="13" a="1"/>
  <c r="C44" i="13"/>
  <c r="B281" i="10"/>
  <c r="D281" i="10"/>
  <c r="C20" i="13" a="1"/>
  <c r="C20" i="13"/>
  <c r="C30" i="13" a="1"/>
  <c r="C30" i="13"/>
  <c r="C33" i="13" a="1"/>
  <c r="C33" i="13"/>
  <c r="O53" i="11"/>
  <c r="B43" i="11"/>
  <c r="E35" i="13" a="1"/>
  <c r="E35" i="13"/>
  <c r="F186" i="6"/>
  <c r="M186" i="6"/>
  <c r="N186" i="6"/>
  <c r="D59" i="13" a="1"/>
  <c r="D59" i="13"/>
  <c r="C71" i="13" a="1"/>
  <c r="C71" i="13"/>
  <c r="D34" i="13" a="1"/>
  <c r="D34" i="13"/>
  <c r="B71" i="13" a="1"/>
  <c r="B71" i="13"/>
  <c r="B59" i="13" a="1"/>
  <c r="B59" i="13"/>
  <c r="H77" i="13"/>
  <c r="F130" i="6"/>
  <c r="H130" i="6"/>
  <c r="H53" i="13"/>
  <c r="F75" i="6"/>
  <c r="J75" i="6"/>
  <c r="K75" i="6"/>
  <c r="L53" i="11"/>
  <c r="B42" i="11"/>
  <c r="J92" i="6"/>
  <c r="K92" i="6"/>
  <c r="M92" i="6"/>
  <c r="N92" i="6"/>
  <c r="H92" i="6"/>
  <c r="E71" i="13" a="1"/>
  <c r="E71" i="13"/>
  <c r="F258" i="6"/>
  <c r="H258" i="6"/>
  <c r="E47" i="13" a="1"/>
  <c r="E47" i="13"/>
  <c r="F222" i="6"/>
  <c r="E59" i="13" a="1"/>
  <c r="E59" i="13"/>
  <c r="F240" i="6"/>
  <c r="M240" i="6"/>
  <c r="N240" i="6"/>
  <c r="B66" i="13" a="1"/>
  <c r="B66" i="13"/>
  <c r="B46" i="13" a="1"/>
  <c r="B46" i="13"/>
  <c r="D47" i="13" a="1"/>
  <c r="D47" i="13"/>
  <c r="F396" i="6"/>
  <c r="J396" i="6"/>
  <c r="K396" i="6"/>
  <c r="L23" i="11"/>
  <c r="B12" i="11"/>
  <c r="D45" i="13" a="1"/>
  <c r="D45" i="13"/>
  <c r="J318" i="6"/>
  <c r="K318" i="6"/>
  <c r="K319" i="6"/>
  <c r="B317" i="6"/>
  <c r="H318" i="6"/>
  <c r="H320" i="6"/>
  <c r="B316" i="6"/>
  <c r="M318" i="6"/>
  <c r="N318" i="6"/>
  <c r="N319" i="6"/>
  <c r="B318" i="6"/>
  <c r="J398" i="6"/>
  <c r="K398" i="6"/>
  <c r="H398" i="6"/>
  <c r="M398" i="6"/>
  <c r="N398" i="6"/>
  <c r="H350" i="6"/>
  <c r="J350" i="6"/>
  <c r="K350" i="6"/>
  <c r="M350" i="6"/>
  <c r="N350" i="6"/>
  <c r="D21" i="13" a="1"/>
  <c r="D21" i="13"/>
  <c r="D18" i="13" a="1"/>
  <c r="D18" i="13"/>
  <c r="F366" i="6"/>
  <c r="F372" i="6"/>
  <c r="J349" i="6"/>
  <c r="K349" i="6"/>
  <c r="H349" i="6"/>
  <c r="M349" i="6"/>
  <c r="N349" i="6"/>
  <c r="D22" i="13" a="1"/>
  <c r="D22" i="13"/>
  <c r="E95" i="13" a="1"/>
  <c r="E95" i="13"/>
  <c r="H95" i="13"/>
  <c r="F102" i="6"/>
  <c r="C35" i="13" a="1"/>
  <c r="C35" i="13"/>
  <c r="J212" i="6"/>
  <c r="K212" i="6"/>
  <c r="H212" i="6"/>
  <c r="M212" i="6"/>
  <c r="N212" i="6"/>
  <c r="M237" i="6"/>
  <c r="N237" i="6"/>
  <c r="J237" i="6"/>
  <c r="K237" i="6"/>
  <c r="H237" i="6"/>
  <c r="J422" i="6"/>
  <c r="K422" i="6"/>
  <c r="H422" i="6"/>
  <c r="M422" i="6"/>
  <c r="N422" i="6"/>
  <c r="M100" i="6"/>
  <c r="N100" i="6"/>
  <c r="B30" i="13" a="1"/>
  <c r="B30" i="13"/>
  <c r="B33" i="13" a="1"/>
  <c r="B33" i="13"/>
  <c r="E21" i="13" a="1"/>
  <c r="E21" i="13"/>
  <c r="F202" i="6"/>
  <c r="H373" i="6"/>
  <c r="J373" i="6"/>
  <c r="K373" i="6"/>
  <c r="M373" i="6"/>
  <c r="N373" i="6"/>
  <c r="H276" i="6"/>
  <c r="J276" i="6"/>
  <c r="K276" i="6"/>
  <c r="H41" i="13"/>
  <c r="F55" i="6"/>
  <c r="C83" i="13" a="1"/>
  <c r="C83" i="13"/>
  <c r="J249" i="6"/>
  <c r="K249" i="6"/>
  <c r="H249" i="6"/>
  <c r="M249" i="6"/>
  <c r="N249" i="6"/>
  <c r="H65" i="13"/>
  <c r="F112" i="6"/>
  <c r="F414" i="6"/>
  <c r="F420" i="6"/>
  <c r="F300" i="6"/>
  <c r="F294" i="6"/>
  <c r="D83" i="13" a="1"/>
  <c r="D83" i="13"/>
  <c r="J219" i="6"/>
  <c r="K219" i="6"/>
  <c r="H219" i="6"/>
  <c r="M219" i="6"/>
  <c r="N219" i="6"/>
  <c r="J94" i="6"/>
  <c r="K94" i="6"/>
  <c r="M94" i="6"/>
  <c r="N94" i="6"/>
  <c r="H94" i="6"/>
  <c r="D82" i="13" a="1"/>
  <c r="D82" i="13"/>
  <c r="J325" i="6"/>
  <c r="K325" i="6"/>
  <c r="M325" i="6"/>
  <c r="N325" i="6"/>
  <c r="H325" i="6"/>
  <c r="F324" i="6"/>
  <c r="J255" i="6"/>
  <c r="K255" i="6"/>
  <c r="H255" i="6"/>
  <c r="M255" i="6"/>
  <c r="N255" i="6"/>
  <c r="J374" i="6"/>
  <c r="K374" i="6"/>
  <c r="H374" i="6"/>
  <c r="M374" i="6"/>
  <c r="N374" i="6"/>
  <c r="B69" i="13" a="1"/>
  <c r="B69" i="13"/>
  <c r="D71" i="13" a="1"/>
  <c r="D71" i="13"/>
  <c r="E94" i="13" a="1"/>
  <c r="E94" i="13"/>
  <c r="H94" i="13"/>
  <c r="F101" i="6"/>
  <c r="J421" i="6"/>
  <c r="K421" i="6"/>
  <c r="M421" i="6"/>
  <c r="N421" i="6"/>
  <c r="H421" i="6"/>
  <c r="O33" i="11"/>
  <c r="B15" i="11"/>
  <c r="M177" i="6"/>
  <c r="N177" i="6"/>
  <c r="J177" i="6"/>
  <c r="K177" i="6"/>
  <c r="H177" i="6"/>
  <c r="J301" i="6"/>
  <c r="K301" i="6"/>
  <c r="M301" i="6"/>
  <c r="N301" i="6"/>
  <c r="H301" i="6"/>
  <c r="J195" i="6"/>
  <c r="K195" i="6"/>
  <c r="M195" i="6"/>
  <c r="N195" i="6"/>
  <c r="H195" i="6"/>
  <c r="H390" i="6"/>
  <c r="H391" i="6"/>
  <c r="B388" i="6"/>
  <c r="M390" i="6"/>
  <c r="N390" i="6"/>
  <c r="N391" i="6"/>
  <c r="B390" i="6"/>
  <c r="J390" i="6"/>
  <c r="K390" i="6"/>
  <c r="K391" i="6"/>
  <c r="B389" i="6"/>
  <c r="B18" i="13" a="1"/>
  <c r="B18" i="13"/>
  <c r="B21" i="13" a="1"/>
  <c r="B21" i="13"/>
  <c r="B45" i="13" a="1"/>
  <c r="B45" i="13"/>
  <c r="D23" i="13" a="1"/>
  <c r="D23" i="13"/>
  <c r="J183" i="6"/>
  <c r="K183" i="6"/>
  <c r="M183" i="6"/>
  <c r="N183" i="6"/>
  <c r="H183" i="6"/>
  <c r="D54" i="13" a="1"/>
  <c r="D54" i="13"/>
  <c r="D57" i="13" a="1"/>
  <c r="D57" i="13"/>
  <c r="H326" i="6"/>
  <c r="J326" i="6"/>
  <c r="K326" i="6"/>
  <c r="M326" i="6"/>
  <c r="N326" i="6"/>
  <c r="B78" i="13" a="1"/>
  <c r="B78" i="13"/>
  <c r="B83" i="13" a="1"/>
  <c r="B83" i="13"/>
  <c r="E34" i="13" a="1"/>
  <c r="E34" i="13"/>
  <c r="F185" i="6"/>
  <c r="D70" i="13" a="1"/>
  <c r="D70" i="13"/>
  <c r="L33" i="11"/>
  <c r="B14" i="11"/>
  <c r="E89" i="13" a="1"/>
  <c r="E89" i="13"/>
  <c r="H89" i="13"/>
  <c r="F93" i="6"/>
  <c r="C29" i="13" a="1"/>
  <c r="C29" i="13"/>
  <c r="H29" i="13"/>
  <c r="F37" i="6"/>
  <c r="M397" i="6"/>
  <c r="N397" i="6"/>
  <c r="H397" i="6"/>
  <c r="J397" i="6"/>
  <c r="K397" i="6"/>
  <c r="M203" i="6"/>
  <c r="N203" i="6"/>
  <c r="J203" i="6"/>
  <c r="K203" i="6"/>
  <c r="B47" i="13" a="1"/>
  <c r="B47" i="13"/>
  <c r="E30" i="13" a="1"/>
  <c r="E30" i="13"/>
  <c r="F178" i="6"/>
  <c r="B23" i="13" a="1"/>
  <c r="B23" i="13"/>
  <c r="D272" i="10"/>
  <c r="C22" i="13" a="1"/>
  <c r="C22" i="13"/>
  <c r="B272" i="10"/>
  <c r="L272" i="10"/>
  <c r="C82" i="13" a="1"/>
  <c r="C82" i="13"/>
  <c r="F272" i="10"/>
  <c r="C46" i="13" a="1"/>
  <c r="C46" i="13"/>
  <c r="H272" i="10"/>
  <c r="C58" i="13" a="1"/>
  <c r="C58" i="13"/>
  <c r="J272" i="10"/>
  <c r="C70" i="13" a="1"/>
  <c r="C70" i="13"/>
  <c r="E46" i="13" a="1"/>
  <c r="E46" i="13"/>
  <c r="F221" i="6"/>
  <c r="B34" i="13" a="1"/>
  <c r="B34" i="13"/>
  <c r="F342" i="6"/>
  <c r="F348" i="6"/>
  <c r="H99" i="6"/>
  <c r="J99" i="6"/>
  <c r="K99" i="6"/>
  <c r="M99" i="6"/>
  <c r="N99" i="6"/>
  <c r="D35" i="13" a="1"/>
  <c r="D35" i="13"/>
  <c r="D42" i="13" a="1"/>
  <c r="D42" i="13"/>
  <c r="D58" i="13" a="1"/>
  <c r="D58" i="13"/>
  <c r="D69" i="13" a="1"/>
  <c r="D69" i="13"/>
  <c r="J302" i="6"/>
  <c r="K302" i="6"/>
  <c r="M302" i="6"/>
  <c r="N302" i="6"/>
  <c r="H302" i="6"/>
  <c r="D78" i="13" a="1"/>
  <c r="D78" i="13"/>
  <c r="D81" i="13" a="1"/>
  <c r="D81" i="13"/>
  <c r="E33" i="13" a="1"/>
  <c r="E33" i="13"/>
  <c r="F184" i="6"/>
  <c r="C69" i="13" a="1"/>
  <c r="C69" i="13"/>
  <c r="E69" i="13" a="1"/>
  <c r="E69" i="13"/>
  <c r="F256" i="6"/>
  <c r="H250" i="6"/>
  <c r="M250" i="6"/>
  <c r="N250" i="6"/>
  <c r="J250" i="6"/>
  <c r="K250" i="6"/>
  <c r="H17" i="13"/>
  <c r="F19" i="6"/>
  <c r="H42" i="16"/>
  <c r="B35" i="13" a="1"/>
  <c r="B35" i="13"/>
  <c r="E23" i="13" a="1"/>
  <c r="E23" i="13"/>
  <c r="F204" i="6"/>
  <c r="F140" i="6"/>
  <c r="H140" i="6"/>
  <c r="F103" i="6"/>
  <c r="H103" i="6"/>
  <c r="J267" i="6"/>
  <c r="K267" i="6"/>
  <c r="M267" i="6"/>
  <c r="N267" i="6"/>
  <c r="H267" i="6"/>
  <c r="B82" i="13" a="1"/>
  <c r="B82" i="13"/>
  <c r="B70" i="13" a="1"/>
  <c r="B70" i="13"/>
  <c r="D40" i="13" a="1"/>
  <c r="D40" i="13"/>
  <c r="H40" i="13"/>
  <c r="F54" i="6"/>
  <c r="B58" i="13" a="1"/>
  <c r="B58" i="13"/>
  <c r="E58" i="13" a="1"/>
  <c r="E58" i="13"/>
  <c r="F239" i="6"/>
  <c r="H239" i="6"/>
  <c r="B42" i="13" a="1"/>
  <c r="B42" i="13"/>
  <c r="D33" i="13" a="1"/>
  <c r="D33" i="13"/>
  <c r="E57" i="13" a="1"/>
  <c r="E57" i="13"/>
  <c r="F238" i="6"/>
  <c r="E54" i="13" a="1"/>
  <c r="E54" i="13"/>
  <c r="F232" i="6"/>
  <c r="B129" i="11"/>
  <c r="C35" i="16"/>
  <c r="H35" i="16"/>
  <c r="F132" i="6"/>
  <c r="H176" i="6"/>
  <c r="D52" i="13" a="1"/>
  <c r="D52" i="13"/>
  <c r="H52" i="13"/>
  <c r="F74" i="6"/>
  <c r="M74" i="6"/>
  <c r="N74" i="6"/>
  <c r="N251" i="6"/>
  <c r="B250" i="6"/>
  <c r="B28" i="13" a="1"/>
  <c r="B28" i="13"/>
  <c r="J176" i="6"/>
  <c r="K176" i="6"/>
  <c r="E45" i="13" a="1"/>
  <c r="E45" i="13"/>
  <c r="F220" i="6"/>
  <c r="J220" i="6"/>
  <c r="K220" i="6"/>
  <c r="J100" i="6"/>
  <c r="K100" i="6"/>
  <c r="E42" i="13" a="1"/>
  <c r="E42" i="13"/>
  <c r="F214" i="6"/>
  <c r="J214" i="6"/>
  <c r="K214" i="6"/>
  <c r="K215" i="6"/>
  <c r="B213" i="6"/>
  <c r="J258" i="6"/>
  <c r="K258" i="6"/>
  <c r="H44" i="13"/>
  <c r="F62" i="6"/>
  <c r="H62" i="6"/>
  <c r="B57" i="13" a="1"/>
  <c r="B57" i="13"/>
  <c r="D30" i="13" a="1"/>
  <c r="D30" i="13"/>
  <c r="H30" i="13"/>
  <c r="F38" i="6"/>
  <c r="B81" i="13" a="1"/>
  <c r="B81" i="13"/>
  <c r="D64" i="13" a="1"/>
  <c r="D64" i="13"/>
  <c r="H20" i="13"/>
  <c r="F25" i="6"/>
  <c r="J25" i="6"/>
  <c r="K25" i="6"/>
  <c r="C81" i="13" a="1"/>
  <c r="C81" i="13"/>
  <c r="B64" i="13" a="1"/>
  <c r="B64" i="13"/>
  <c r="B76" i="13" a="1"/>
  <c r="B76" i="13"/>
  <c r="H186" i="6"/>
  <c r="J186" i="6"/>
  <c r="K186" i="6"/>
  <c r="B159" i="11"/>
  <c r="C29" i="16"/>
  <c r="H29" i="16"/>
  <c r="D76" i="13" a="1"/>
  <c r="D76" i="13"/>
  <c r="J268" i="6"/>
  <c r="K268" i="6"/>
  <c r="H268" i="6"/>
  <c r="H269" i="6"/>
  <c r="M268" i="6"/>
  <c r="N268" i="6"/>
  <c r="E16" i="13" a="1"/>
  <c r="E16" i="13"/>
  <c r="J274" i="6"/>
  <c r="K274" i="6"/>
  <c r="H274" i="6"/>
  <c r="M274" i="6"/>
  <c r="N274" i="6"/>
  <c r="K251" i="6"/>
  <c r="B249" i="6"/>
  <c r="D28" i="13" a="1"/>
  <c r="D28" i="13"/>
  <c r="E82" i="13" a="1"/>
  <c r="E82" i="13"/>
  <c r="F275" i="6"/>
  <c r="M196" i="6"/>
  <c r="N196" i="6"/>
  <c r="B39" i="11"/>
  <c r="C17" i="16"/>
  <c r="H17" i="16"/>
  <c r="J196" i="6"/>
  <c r="K196" i="6"/>
  <c r="M266" i="6"/>
  <c r="N266" i="6"/>
  <c r="M258" i="6"/>
  <c r="N258" i="6"/>
  <c r="H71" i="13"/>
  <c r="F121" i="6"/>
  <c r="H121" i="6"/>
  <c r="H66" i="13"/>
  <c r="F113" i="6"/>
  <c r="H113" i="6"/>
  <c r="H35" i="13"/>
  <c r="F46" i="6"/>
  <c r="H46" i="6"/>
  <c r="H46" i="13"/>
  <c r="F64" i="6"/>
  <c r="H64" i="6"/>
  <c r="J266" i="6"/>
  <c r="K266" i="6"/>
  <c r="H118" i="6"/>
  <c r="M118" i="6"/>
  <c r="N118" i="6"/>
  <c r="J118" i="6"/>
  <c r="K118" i="6"/>
  <c r="J240" i="6"/>
  <c r="K240" i="6"/>
  <c r="M62" i="6"/>
  <c r="N62" i="6"/>
  <c r="J239" i="6"/>
  <c r="K239" i="6"/>
  <c r="K399" i="6"/>
  <c r="B391" i="6"/>
  <c r="H83" i="13"/>
  <c r="F139" i="6"/>
  <c r="J139" i="6"/>
  <c r="K139" i="6"/>
  <c r="C32" i="13" a="1"/>
  <c r="C32" i="13"/>
  <c r="H32" i="13"/>
  <c r="F43" i="6"/>
  <c r="E116" i="13" a="1"/>
  <c r="E116" i="13"/>
  <c r="H116" i="13"/>
  <c r="F151" i="6"/>
  <c r="B9" i="11"/>
  <c r="C20" i="16"/>
  <c r="H20" i="16"/>
  <c r="M75" i="6"/>
  <c r="N75" i="6"/>
  <c r="H75" i="6"/>
  <c r="H21" i="13"/>
  <c r="F26" i="6"/>
  <c r="H26" i="6"/>
  <c r="H251" i="6"/>
  <c r="B248" i="6"/>
  <c r="H18" i="13"/>
  <c r="F20" i="6"/>
  <c r="M20" i="6"/>
  <c r="N20" i="6"/>
  <c r="H240" i="6"/>
  <c r="J130" i="6"/>
  <c r="K130" i="6"/>
  <c r="H59" i="13"/>
  <c r="F84" i="6"/>
  <c r="M396" i="6"/>
  <c r="N396" i="6"/>
  <c r="N399" i="6"/>
  <c r="B392" i="6"/>
  <c r="M130" i="6"/>
  <c r="N130" i="6"/>
  <c r="H396" i="6"/>
  <c r="H399" i="6"/>
  <c r="B394" i="6"/>
  <c r="E30" i="16"/>
  <c r="H47" i="13"/>
  <c r="F65" i="6"/>
  <c r="H65" i="6"/>
  <c r="H45" i="13"/>
  <c r="F63" i="6"/>
  <c r="H63" i="6"/>
  <c r="J222" i="6"/>
  <c r="K222" i="6"/>
  <c r="M222" i="6"/>
  <c r="N222" i="6"/>
  <c r="H222" i="6"/>
  <c r="H37" i="6"/>
  <c r="M37" i="6"/>
  <c r="N37" i="6"/>
  <c r="J37" i="6"/>
  <c r="K37" i="6"/>
  <c r="H70" i="13"/>
  <c r="F120" i="6"/>
  <c r="M19" i="6"/>
  <c r="N19" i="6"/>
  <c r="H19" i="6"/>
  <c r="J19" i="6"/>
  <c r="K19" i="6"/>
  <c r="J324" i="6"/>
  <c r="K324" i="6"/>
  <c r="K327" i="6"/>
  <c r="B319" i="6"/>
  <c r="H324" i="6"/>
  <c r="H327" i="6"/>
  <c r="B322" i="6"/>
  <c r="E21" i="16"/>
  <c r="M324" i="6"/>
  <c r="N324" i="6"/>
  <c r="N327" i="6"/>
  <c r="B320" i="6"/>
  <c r="H22" i="13"/>
  <c r="F27" i="6"/>
  <c r="H78" i="13"/>
  <c r="F131" i="6"/>
  <c r="H220" i="6"/>
  <c r="M220" i="6"/>
  <c r="N220" i="6"/>
  <c r="J294" i="6"/>
  <c r="K294" i="6"/>
  <c r="K295" i="6"/>
  <c r="B293" i="6"/>
  <c r="M294" i="6"/>
  <c r="N294" i="6"/>
  <c r="N295" i="6"/>
  <c r="B294" i="6"/>
  <c r="H294" i="6"/>
  <c r="H296" i="6"/>
  <c r="B292" i="6"/>
  <c r="H23" i="13"/>
  <c r="F28" i="6"/>
  <c r="H185" i="6"/>
  <c r="J185" i="6"/>
  <c r="K185" i="6"/>
  <c r="M185" i="6"/>
  <c r="N185" i="6"/>
  <c r="H69" i="13"/>
  <c r="F119" i="6"/>
  <c r="J300" i="6"/>
  <c r="K300" i="6"/>
  <c r="K303" i="6"/>
  <c r="B295" i="6"/>
  <c r="H300" i="6"/>
  <c r="H303" i="6"/>
  <c r="B298" i="6"/>
  <c r="E18" i="16"/>
  <c r="M300" i="6"/>
  <c r="N300" i="6"/>
  <c r="N303" i="6"/>
  <c r="B296" i="6"/>
  <c r="H102" i="6"/>
  <c r="J102" i="6"/>
  <c r="K102" i="6"/>
  <c r="M102" i="6"/>
  <c r="N102" i="6"/>
  <c r="H93" i="6"/>
  <c r="H96" i="6"/>
  <c r="B92" i="6"/>
  <c r="J93" i="6"/>
  <c r="K93" i="6"/>
  <c r="K96" i="6"/>
  <c r="B93" i="6"/>
  <c r="M93" i="6"/>
  <c r="N93" i="6"/>
  <c r="N96" i="6"/>
  <c r="B94" i="6"/>
  <c r="H58" i="13"/>
  <c r="F83" i="6"/>
  <c r="J420" i="6"/>
  <c r="K420" i="6"/>
  <c r="K423" i="6"/>
  <c r="B415" i="6"/>
  <c r="H420" i="6"/>
  <c r="H423" i="6"/>
  <c r="B418" i="6"/>
  <c r="E33" i="16"/>
  <c r="M420" i="6"/>
  <c r="N420" i="6"/>
  <c r="N423" i="6"/>
  <c r="B416" i="6"/>
  <c r="J204" i="6"/>
  <c r="K204" i="6"/>
  <c r="M204" i="6"/>
  <c r="N204" i="6"/>
  <c r="H204" i="6"/>
  <c r="M136" i="6"/>
  <c r="N136" i="6"/>
  <c r="J136" i="6"/>
  <c r="K136" i="6"/>
  <c r="H136" i="6"/>
  <c r="M256" i="6"/>
  <c r="N256" i="6"/>
  <c r="J256" i="6"/>
  <c r="K256" i="6"/>
  <c r="H256" i="6"/>
  <c r="H259" i="6"/>
  <c r="B254" i="6"/>
  <c r="F30" i="16"/>
  <c r="F141" i="6"/>
  <c r="H141" i="6"/>
  <c r="F153" i="6"/>
  <c r="H153" i="6"/>
  <c r="H184" i="6"/>
  <c r="M184" i="6"/>
  <c r="N184" i="6"/>
  <c r="J184" i="6"/>
  <c r="K184" i="6"/>
  <c r="H348" i="6"/>
  <c r="H351" i="6"/>
  <c r="B347" i="6"/>
  <c r="E24" i="16"/>
  <c r="M348" i="6"/>
  <c r="N348" i="6"/>
  <c r="N351" i="6"/>
  <c r="B344" i="6"/>
  <c r="J348" i="6"/>
  <c r="K348" i="6"/>
  <c r="K351" i="6"/>
  <c r="B343" i="6"/>
  <c r="E118" i="13" a="1"/>
  <c r="E118" i="13"/>
  <c r="H118" i="13"/>
  <c r="F152" i="6"/>
  <c r="C34" i="13" a="1"/>
  <c r="C34" i="13"/>
  <c r="H34" i="13"/>
  <c r="F45" i="6"/>
  <c r="H414" i="6"/>
  <c r="H415" i="6"/>
  <c r="M414" i="6"/>
  <c r="N414" i="6"/>
  <c r="N415" i="6"/>
  <c r="J414" i="6"/>
  <c r="K414" i="6"/>
  <c r="K415" i="6"/>
  <c r="J55" i="6"/>
  <c r="K55" i="6"/>
  <c r="M55" i="6"/>
  <c r="N55" i="6"/>
  <c r="H55" i="6"/>
  <c r="J202" i="6"/>
  <c r="K202" i="6"/>
  <c r="H202" i="6"/>
  <c r="M202" i="6"/>
  <c r="N202" i="6"/>
  <c r="J26" i="6"/>
  <c r="K26" i="6"/>
  <c r="M178" i="6"/>
  <c r="N178" i="6"/>
  <c r="N179" i="6"/>
  <c r="B178" i="6"/>
  <c r="H178" i="6"/>
  <c r="H179" i="6"/>
  <c r="B176" i="6"/>
  <c r="J178" i="6"/>
  <c r="K178" i="6"/>
  <c r="M342" i="6"/>
  <c r="N342" i="6"/>
  <c r="N343" i="6"/>
  <c r="B342" i="6"/>
  <c r="H342" i="6"/>
  <c r="H343" i="6"/>
  <c r="B340" i="6"/>
  <c r="J342" i="6"/>
  <c r="K342" i="6"/>
  <c r="K343" i="6"/>
  <c r="B341" i="6"/>
  <c r="J101" i="6"/>
  <c r="K101" i="6"/>
  <c r="H101" i="6"/>
  <c r="M101" i="6"/>
  <c r="N101" i="6"/>
  <c r="M112" i="6"/>
  <c r="N112" i="6"/>
  <c r="J112" i="6"/>
  <c r="K112" i="6"/>
  <c r="H112" i="6"/>
  <c r="H33" i="13"/>
  <c r="F44" i="6"/>
  <c r="J81" i="6"/>
  <c r="K81" i="6"/>
  <c r="M81" i="6"/>
  <c r="N81" i="6"/>
  <c r="H81" i="6"/>
  <c r="H372" i="6"/>
  <c r="H375" i="6"/>
  <c r="B370" i="6"/>
  <c r="E27" i="16"/>
  <c r="M372" i="6"/>
  <c r="N372" i="6"/>
  <c r="N375" i="6"/>
  <c r="B368" i="6"/>
  <c r="J372" i="6"/>
  <c r="K372" i="6"/>
  <c r="K375" i="6"/>
  <c r="B367" i="6"/>
  <c r="H221" i="6"/>
  <c r="M221" i="6"/>
  <c r="N221" i="6"/>
  <c r="J221" i="6"/>
  <c r="K221" i="6"/>
  <c r="M366" i="6"/>
  <c r="N366" i="6"/>
  <c r="N367" i="6"/>
  <c r="B366" i="6"/>
  <c r="J366" i="6"/>
  <c r="K366" i="6"/>
  <c r="K367" i="6"/>
  <c r="B365" i="6"/>
  <c r="H366" i="6"/>
  <c r="H367" i="6"/>
  <c r="B364" i="6"/>
  <c r="H54" i="6"/>
  <c r="J54" i="6"/>
  <c r="K54" i="6"/>
  <c r="M54" i="6"/>
  <c r="N54" i="6"/>
  <c r="H54" i="13"/>
  <c r="F76" i="6"/>
  <c r="M76" i="6"/>
  <c r="N76" i="6"/>
  <c r="M239" i="6"/>
  <c r="N239" i="6"/>
  <c r="H28" i="13"/>
  <c r="F36" i="6"/>
  <c r="M36" i="6"/>
  <c r="N36" i="6"/>
  <c r="H57" i="13"/>
  <c r="F82" i="6"/>
  <c r="J82" i="6"/>
  <c r="K82" i="6"/>
  <c r="J62" i="6"/>
  <c r="K62" i="6"/>
  <c r="F95" i="6"/>
  <c r="H64" i="13"/>
  <c r="F111" i="6"/>
  <c r="J111" i="6"/>
  <c r="K111" i="6"/>
  <c r="H214" i="6"/>
  <c r="H215" i="6"/>
  <c r="B212" i="6"/>
  <c r="M232" i="6"/>
  <c r="N232" i="6"/>
  <c r="N233" i="6"/>
  <c r="B232" i="6"/>
  <c r="J232" i="6"/>
  <c r="K232" i="6"/>
  <c r="K233" i="6"/>
  <c r="B231" i="6"/>
  <c r="H232" i="6"/>
  <c r="H233" i="6"/>
  <c r="B230" i="6"/>
  <c r="H238" i="6"/>
  <c r="H241" i="6"/>
  <c r="B236" i="6"/>
  <c r="F27" i="16"/>
  <c r="I27" i="16"/>
  <c r="J238" i="6"/>
  <c r="K238" i="6"/>
  <c r="K241" i="6"/>
  <c r="B233" i="6"/>
  <c r="M238" i="6"/>
  <c r="N238" i="6"/>
  <c r="N241" i="6"/>
  <c r="B234" i="6"/>
  <c r="H76" i="6"/>
  <c r="J64" i="6"/>
  <c r="K64" i="6"/>
  <c r="H25" i="6"/>
  <c r="K179" i="6"/>
  <c r="B177" i="6"/>
  <c r="M214" i="6"/>
  <c r="N214" i="6"/>
  <c r="N215" i="6"/>
  <c r="B214" i="6"/>
  <c r="J74" i="6"/>
  <c r="K74" i="6"/>
  <c r="J63" i="6"/>
  <c r="K63" i="6"/>
  <c r="K269" i="6"/>
  <c r="H74" i="6"/>
  <c r="J113" i="6"/>
  <c r="K113" i="6"/>
  <c r="J46" i="6"/>
  <c r="K46" i="6"/>
  <c r="M26" i="6"/>
  <c r="N26" i="6"/>
  <c r="H82" i="6"/>
  <c r="H205" i="6"/>
  <c r="B200" i="6"/>
  <c r="F21" i="16"/>
  <c r="K259" i="6"/>
  <c r="B251" i="6"/>
  <c r="H42" i="13"/>
  <c r="F56" i="6"/>
  <c r="H81" i="13"/>
  <c r="F137" i="6"/>
  <c r="H137" i="6"/>
  <c r="M63" i="6"/>
  <c r="N63" i="6"/>
  <c r="H82" i="13"/>
  <c r="F138" i="6"/>
  <c r="M138" i="6"/>
  <c r="N138" i="6"/>
  <c r="K187" i="6"/>
  <c r="B179" i="6"/>
  <c r="N269" i="6"/>
  <c r="H223" i="6"/>
  <c r="B219" i="6"/>
  <c r="F24" i="16"/>
  <c r="I24" i="16"/>
  <c r="M25" i="6"/>
  <c r="N25" i="6"/>
  <c r="H76" i="13"/>
  <c r="F129" i="6"/>
  <c r="H129" i="6"/>
  <c r="H36" i="6"/>
  <c r="N259" i="6"/>
  <c r="B252" i="6"/>
  <c r="M121" i="6"/>
  <c r="N121" i="6"/>
  <c r="N223" i="6"/>
  <c r="B216" i="6"/>
  <c r="J275" i="6"/>
  <c r="K275" i="6"/>
  <c r="K277" i="6"/>
  <c r="B269" i="6"/>
  <c r="H275" i="6"/>
  <c r="H277" i="6"/>
  <c r="B272" i="6"/>
  <c r="F33" i="16"/>
  <c r="I33" i="16"/>
  <c r="M275" i="6"/>
  <c r="N275" i="6"/>
  <c r="N277" i="6"/>
  <c r="B270" i="6"/>
  <c r="F194" i="6"/>
  <c r="H16" i="13"/>
  <c r="F18" i="6"/>
  <c r="M46" i="6"/>
  <c r="N46" i="6"/>
  <c r="H77" i="6"/>
  <c r="B74" i="6"/>
  <c r="K223" i="6"/>
  <c r="B215" i="6"/>
  <c r="J121" i="6"/>
  <c r="K121" i="6"/>
  <c r="K104" i="6"/>
  <c r="B95" i="6"/>
  <c r="J129" i="6"/>
  <c r="K129" i="6"/>
  <c r="M113" i="6"/>
  <c r="N113" i="6"/>
  <c r="N104" i="6"/>
  <c r="B96" i="6"/>
  <c r="N205" i="6"/>
  <c r="B198" i="6"/>
  <c r="M82" i="6"/>
  <c r="N82" i="6"/>
  <c r="M64" i="6"/>
  <c r="N64" i="6"/>
  <c r="H139" i="6"/>
  <c r="H67" i="6"/>
  <c r="B61" i="6"/>
  <c r="D24" i="16"/>
  <c r="N77" i="6"/>
  <c r="B76" i="6"/>
  <c r="M139" i="6"/>
  <c r="N139" i="6"/>
  <c r="H20" i="6"/>
  <c r="J43" i="6"/>
  <c r="K43" i="6"/>
  <c r="H43" i="6"/>
  <c r="M43" i="6"/>
  <c r="N43" i="6"/>
  <c r="H104" i="6"/>
  <c r="B98" i="6"/>
  <c r="D36" i="16"/>
  <c r="BV33" i="8"/>
  <c r="J76" i="6"/>
  <c r="K76" i="6"/>
  <c r="K77" i="6"/>
  <c r="B75" i="6"/>
  <c r="J20" i="6"/>
  <c r="K20" i="6"/>
  <c r="B387" i="6"/>
  <c r="E29" i="16"/>
  <c r="N187" i="6"/>
  <c r="B180" i="6"/>
  <c r="J151" i="6"/>
  <c r="K151" i="6"/>
  <c r="M151" i="6"/>
  <c r="N151" i="6"/>
  <c r="H151" i="6"/>
  <c r="J65" i="6"/>
  <c r="K65" i="6"/>
  <c r="B291" i="6"/>
  <c r="E17" i="16"/>
  <c r="M65" i="6"/>
  <c r="N65" i="6"/>
  <c r="M84" i="6"/>
  <c r="N84" i="6"/>
  <c r="J84" i="6"/>
  <c r="K84" i="6"/>
  <c r="H84" i="6"/>
  <c r="H187" i="6"/>
  <c r="B182" i="6"/>
  <c r="F18" i="16"/>
  <c r="I18" i="16"/>
  <c r="B315" i="6"/>
  <c r="E20" i="16"/>
  <c r="K205" i="6"/>
  <c r="B197" i="6"/>
  <c r="I30" i="16"/>
  <c r="M45" i="6"/>
  <c r="N45" i="6"/>
  <c r="J45" i="6"/>
  <c r="K45" i="6"/>
  <c r="H45" i="6"/>
  <c r="B411" i="6"/>
  <c r="E32" i="16"/>
  <c r="M120" i="6"/>
  <c r="N120" i="6"/>
  <c r="H120" i="6"/>
  <c r="J120" i="6"/>
  <c r="K120" i="6"/>
  <c r="M119" i="6"/>
  <c r="N119" i="6"/>
  <c r="H119" i="6"/>
  <c r="J119" i="6"/>
  <c r="K119" i="6"/>
  <c r="J131" i="6"/>
  <c r="K131" i="6"/>
  <c r="H131" i="6"/>
  <c r="M131" i="6"/>
  <c r="N131" i="6"/>
  <c r="M83" i="6"/>
  <c r="N83" i="6"/>
  <c r="H83" i="6"/>
  <c r="J83" i="6"/>
  <c r="K83" i="6"/>
  <c r="J27" i="6"/>
  <c r="K27" i="6"/>
  <c r="M27" i="6"/>
  <c r="N27" i="6"/>
  <c r="H27" i="6"/>
  <c r="B339" i="6"/>
  <c r="E23" i="16"/>
  <c r="B363" i="6"/>
  <c r="E26" i="16"/>
  <c r="M38" i="6"/>
  <c r="N38" i="6"/>
  <c r="J38" i="6"/>
  <c r="K38" i="6"/>
  <c r="H38" i="6"/>
  <c r="H44" i="6"/>
  <c r="M44" i="6"/>
  <c r="N44" i="6"/>
  <c r="J44" i="6"/>
  <c r="K44" i="6"/>
  <c r="J138" i="6"/>
  <c r="K138" i="6"/>
  <c r="H138" i="6"/>
  <c r="H28" i="6"/>
  <c r="J28" i="6"/>
  <c r="K28" i="6"/>
  <c r="M28" i="6"/>
  <c r="N28" i="6"/>
  <c r="M152" i="6"/>
  <c r="N152" i="6"/>
  <c r="J152" i="6"/>
  <c r="K152" i="6"/>
  <c r="H152" i="6"/>
  <c r="I21" i="16"/>
  <c r="B229" i="6"/>
  <c r="F26" i="16"/>
  <c r="I26" i="16"/>
  <c r="J36" i="6"/>
  <c r="K36" i="6"/>
  <c r="K39" i="6"/>
  <c r="B37" i="6"/>
  <c r="K67" i="6"/>
  <c r="B57" i="6"/>
  <c r="M111" i="6"/>
  <c r="N111" i="6"/>
  <c r="N114" i="6"/>
  <c r="B113" i="6"/>
  <c r="H111" i="6"/>
  <c r="H114" i="6"/>
  <c r="B111" i="6"/>
  <c r="H85" i="6"/>
  <c r="B80" i="6"/>
  <c r="D27" i="16"/>
  <c r="AK33" i="8"/>
  <c r="M129" i="6"/>
  <c r="N129" i="6"/>
  <c r="B247" i="6"/>
  <c r="F29" i="16"/>
  <c r="I29" i="16"/>
  <c r="H154" i="6"/>
  <c r="B151" i="6"/>
  <c r="D42" i="16"/>
  <c r="H39" i="6"/>
  <c r="B36" i="6"/>
  <c r="K85" i="6"/>
  <c r="B77" i="6"/>
  <c r="K114" i="6"/>
  <c r="B112" i="6"/>
  <c r="N39" i="6"/>
  <c r="B38" i="6"/>
  <c r="B211" i="6"/>
  <c r="F23" i="16"/>
  <c r="B175" i="6"/>
  <c r="F17" i="16"/>
  <c r="M56" i="6"/>
  <c r="N56" i="6"/>
  <c r="N58" i="6"/>
  <c r="B56" i="6"/>
  <c r="H56" i="6"/>
  <c r="H58" i="6"/>
  <c r="B54" i="6"/>
  <c r="J56" i="6"/>
  <c r="K56" i="6"/>
  <c r="K58" i="6"/>
  <c r="B55" i="6"/>
  <c r="N67" i="6"/>
  <c r="B58" i="6"/>
  <c r="J137" i="6"/>
  <c r="K137" i="6"/>
  <c r="K142" i="6"/>
  <c r="B132" i="6"/>
  <c r="M137" i="6"/>
  <c r="N137" i="6"/>
  <c r="N142" i="6"/>
  <c r="B133" i="6"/>
  <c r="N133" i="6"/>
  <c r="B131" i="6"/>
  <c r="B91" i="6"/>
  <c r="D35" i="16"/>
  <c r="BV24" i="8"/>
  <c r="B265" i="6"/>
  <c r="F32" i="16"/>
  <c r="I32" i="16"/>
  <c r="I17" i="16"/>
  <c r="J18" i="6"/>
  <c r="K18" i="6"/>
  <c r="K21" i="6"/>
  <c r="B19" i="6"/>
  <c r="H18" i="6"/>
  <c r="H21" i="6"/>
  <c r="B18" i="6"/>
  <c r="M18" i="6"/>
  <c r="N18" i="6"/>
  <c r="N21" i="6"/>
  <c r="B20" i="6"/>
  <c r="J194" i="6"/>
  <c r="K194" i="6"/>
  <c r="K197" i="6"/>
  <c r="B195" i="6"/>
  <c r="M194" i="6"/>
  <c r="N194" i="6"/>
  <c r="N197" i="6"/>
  <c r="B196" i="6"/>
  <c r="H194" i="6"/>
  <c r="H197" i="6"/>
  <c r="B194" i="6"/>
  <c r="K133" i="6"/>
  <c r="B130" i="6"/>
  <c r="H133" i="6"/>
  <c r="B129" i="6"/>
  <c r="N85" i="6"/>
  <c r="B78" i="6"/>
  <c r="N47" i="6"/>
  <c r="B40" i="6"/>
  <c r="H47" i="6"/>
  <c r="B42" i="6"/>
  <c r="D18" i="16"/>
  <c r="BC33" i="8"/>
  <c r="H142" i="6"/>
  <c r="B135" i="6"/>
  <c r="D33" i="16"/>
  <c r="AT33" i="8"/>
  <c r="K47" i="6"/>
  <c r="B39" i="6"/>
  <c r="K29" i="6"/>
  <c r="B21" i="6"/>
  <c r="H29" i="6"/>
  <c r="B24" i="6"/>
  <c r="D21" i="16"/>
  <c r="G33" i="8"/>
  <c r="N29" i="6"/>
  <c r="B22" i="6"/>
  <c r="K154" i="6"/>
  <c r="B149" i="6"/>
  <c r="N154" i="6"/>
  <c r="B150" i="6"/>
  <c r="I23" i="16"/>
  <c r="K122" i="6"/>
  <c r="B114" i="6"/>
  <c r="H122" i="6"/>
  <c r="B117" i="6"/>
  <c r="D30" i="16"/>
  <c r="BL33" i="8"/>
  <c r="N122" i="6"/>
  <c r="B115" i="6"/>
  <c r="B53" i="6"/>
  <c r="D23" i="16"/>
  <c r="B73" i="6"/>
  <c r="D26" i="16"/>
  <c r="AK24" i="8"/>
  <c r="B128" i="6"/>
  <c r="D32" i="16"/>
  <c r="AT24" i="8"/>
  <c r="B193" i="6"/>
  <c r="F20" i="16"/>
  <c r="I20" i="16"/>
  <c r="B17" i="6"/>
  <c r="D20" i="16"/>
  <c r="G24" i="8"/>
  <c r="B35" i="6"/>
  <c r="D17" i="16"/>
  <c r="BC24" i="8"/>
  <c r="B148" i="6"/>
  <c r="D41" i="16"/>
  <c r="CI24" i="8"/>
  <c r="B110" i="6"/>
  <c r="D29" i="16"/>
  <c r="BL24" i="8"/>
  <c r="CC33" i="8"/>
  <c r="CA33" i="8"/>
  <c r="AZ33" i="8"/>
  <c r="BA24" i="8"/>
  <c r="BI24" i="8"/>
  <c r="BI33" i="8"/>
  <c r="BJ33" i="8"/>
  <c r="BM33" i="8"/>
  <c r="CO33" i="8"/>
  <c r="CQ33" i="8"/>
  <c r="CR33" i="8"/>
  <c r="AH24" i="8"/>
  <c r="CI33" i="8"/>
  <c r="F24" i="8"/>
  <c r="F33" i="8"/>
  <c r="CA24" i="8"/>
  <c r="Y24" i="8"/>
  <c r="Y33" i="8"/>
  <c r="CQ24" i="8"/>
  <c r="CR24" i="8"/>
  <c r="CC24" i="8"/>
  <c r="Z24" i="8"/>
  <c r="AC24" i="8"/>
  <c r="Z15" i="8"/>
  <c r="AA15" i="8"/>
  <c r="AR33" i="8"/>
  <c r="BW33" i="8"/>
  <c r="BA33" i="8"/>
  <c r="AR24" i="8"/>
  <c r="H24" i="8"/>
  <c r="W33" i="8"/>
  <c r="BJ24" i="8"/>
  <c r="BT24" i="8"/>
  <c r="BD24" i="8"/>
  <c r="AB33" i="8"/>
  <c r="CS33" i="8"/>
  <c r="CT33" i="8"/>
  <c r="CU33" i="8"/>
  <c r="AB24" i="8"/>
  <c r="Z33" i="8"/>
  <c r="AH33" i="8"/>
  <c r="AI33" i="8"/>
  <c r="AL33" i="8"/>
  <c r="AI24" i="8"/>
  <c r="AL24" i="8"/>
  <c r="BW24" i="8"/>
  <c r="AU33" i="8"/>
  <c r="AC33" i="8"/>
  <c r="BM24" i="8"/>
  <c r="H33" i="8"/>
  <c r="I24" i="8"/>
  <c r="J24" i="8"/>
  <c r="AU24" i="8"/>
  <c r="CS24" i="8"/>
  <c r="CT24" i="8"/>
  <c r="CU24" i="8"/>
  <c r="BD33" i="8"/>
  <c r="CD24" i="8"/>
  <c r="CJ24" i="8"/>
  <c r="AA24" i="8"/>
  <c r="CB24" i="8"/>
  <c r="CH24" i="8"/>
  <c r="BB24" i="8"/>
  <c r="AJ24" i="8"/>
  <c r="AM24" i="8"/>
  <c r="BE24" i="8"/>
  <c r="AD24" i="8"/>
  <c r="BU24" i="8"/>
  <c r="L24" i="8"/>
  <c r="BK24" i="8"/>
  <c r="AS24" i="8"/>
  <c r="I33" i="8"/>
  <c r="J33" i="8"/>
  <c r="BN24" i="8"/>
  <c r="BX24" i="8"/>
  <c r="O24" i="8"/>
  <c r="AV24" i="8"/>
  <c r="K24" i="8"/>
  <c r="M24" i="8"/>
  <c r="P24" i="8"/>
  <c r="Q24" i="8"/>
  <c r="CJ33" i="8"/>
  <c r="CD33" i="8"/>
  <c r="P33" i="8"/>
  <c r="CB33" i="8"/>
  <c r="BK33" i="8"/>
  <c r="AJ33" i="8"/>
  <c r="BU33" i="8"/>
  <c r="CH33" i="8"/>
  <c r="BX33" i="8"/>
  <c r="O33" i="8"/>
  <c r="BB33" i="8"/>
  <c r="BN33" i="8"/>
  <c r="AA33" i="8"/>
  <c r="AM33" i="8"/>
  <c r="AS33" i="8"/>
  <c r="AD33" i="8"/>
  <c r="AV33" i="8"/>
  <c r="BE33" i="8"/>
  <c r="N24" i="8"/>
  <c r="R24" i="8"/>
  <c r="Q33" i="8"/>
  <c r="N33" i="8"/>
  <c r="R33" i="8"/>
  <c r="L33" i="8"/>
  <c r="K33" i="8"/>
  <c r="M33" i="8"/>
  <c r="S24" i="8"/>
  <c r="T24" i="8"/>
  <c r="S33" i="8"/>
  <c r="T33" i="8"/>
  <c r="P16" i="8"/>
  <c r="P17" i="8"/>
  <c r="Q17" i="8"/>
  <c r="Q16" i="8"/>
</calcChain>
</file>

<file path=xl/comments1.xml><?xml version="1.0" encoding="utf-8"?>
<comments xmlns="http://schemas.openxmlformats.org/spreadsheetml/2006/main">
  <authors>
    <author>srichardson</author>
  </authors>
  <commentList>
    <comment ref="D60" authorId="0" shapeId="0">
      <text>
        <r>
          <rPr>
            <sz val="10"/>
            <rFont val="Arial"/>
          </rPr>
          <t>srichardson: includes NYPA</t>
        </r>
      </text>
    </comment>
    <comment ref="C79" authorId="0" shapeId="0">
      <text>
        <r>
          <rPr>
            <sz val="10"/>
            <rFont val="Arial"/>
          </rPr>
          <t>srichardson:</t>
        </r>
        <r>
          <rPr>
            <sz val="10"/>
            <rFont val="Arial"/>
          </rPr>
          <t xml:space="preserve">
</t>
        </r>
        <r>
          <rPr>
            <sz val="10"/>
            <rFont val="Arial"/>
          </rPr>
          <t>923 Net Generation from Electric Utilities, NAICS Cogen and NAICS non-coogen (MWh) instead of ISO-NE value</t>
        </r>
      </text>
    </comment>
    <comment ref="D86" authorId="0" shapeId="0">
      <text>
        <r>
          <rPr>
            <sz val="10"/>
            <rFont val="Arial"/>
          </rPr>
          <t>srichardson: includes NYPA</t>
        </r>
        <r>
          <rPr>
            <sz val="10"/>
            <rFont val="Arial"/>
          </rPr>
          <t xml:space="preserve">
</t>
        </r>
      </text>
    </comment>
  </commentList>
</comments>
</file>

<file path=xl/comments2.xml><?xml version="1.0" encoding="utf-8"?>
<comments xmlns="http://schemas.openxmlformats.org/spreadsheetml/2006/main">
  <authors>
    <author>srichardson</author>
  </authors>
  <commentList>
    <comment ref="E7" authorId="0" shapeId="0">
      <text>
        <r>
          <rPr>
            <sz val="10"/>
            <color indexed="8"/>
            <rFont val="Arial"/>
            <family val="2"/>
          </rPr>
          <t xml:space="preserve">srichardson:
</t>
        </r>
        <r>
          <rPr>
            <sz val="10"/>
            <color indexed="8"/>
            <rFont val="Arial"/>
            <family val="2"/>
          </rPr>
          <t>Not used. Using 923 MWh (below) instead.</t>
        </r>
      </text>
    </comment>
  </commentList>
</comments>
</file>

<file path=xl/comments3.xml><?xml version="1.0" encoding="utf-8"?>
<comments xmlns="http://schemas.openxmlformats.org/spreadsheetml/2006/main">
  <authors>
    <author>srichardson</author>
    <author>Sharon Weber</author>
  </authors>
  <commentList>
    <comment ref="F205" authorId="0" shapeId="0">
      <text>
        <r>
          <rPr>
            <sz val="10"/>
            <rFont val="Arial"/>
          </rPr>
          <t>srichardson:</t>
        </r>
        <r>
          <rPr>
            <sz val="10"/>
            <rFont val="Arial"/>
          </rPr>
          <t xml:space="preserve">
</t>
        </r>
        <r>
          <rPr>
            <sz val="10"/>
            <rFont val="Arial"/>
          </rPr>
          <t>Added GIS certificate MMBTUs from COVENTRY(s) and unaccounted for MORETOWN</t>
        </r>
      </text>
    </comment>
    <comment ref="F208" authorId="0" shapeId="0">
      <text>
        <r>
          <rPr>
            <sz val="10"/>
            <rFont val="Arial"/>
          </rPr>
          <t>srichardson:</t>
        </r>
        <r>
          <rPr>
            <sz val="10"/>
            <rFont val="Arial"/>
          </rPr>
          <t xml:space="preserve">
</t>
        </r>
        <r>
          <rPr>
            <sz val="10"/>
            <rFont val="Arial"/>
          </rPr>
          <t>Added GIS certificate MMBTUs from Cerosimo and unaccounted for MCNEIL</t>
        </r>
      </text>
    </comment>
    <comment ref="G218" authorId="1" shapeId="0">
      <text>
        <r>
          <rPr>
            <sz val="10"/>
            <rFont val="Arial"/>
          </rPr>
          <t xml:space="preserve">These MWh are already included in the Environment Canada GWh. They are shown here for purposes of calculating Biogenic CO2.
</t>
        </r>
        <r>
          <rPr>
            <sz val="10"/>
            <rFont val="Arial"/>
          </rPr>
          <t xml:space="preserve">
</t>
        </r>
      </text>
    </comment>
    <comment ref="G221" authorId="0" shapeId="0">
      <text>
        <r>
          <rPr>
            <sz val="10"/>
            <rFont val="Arial"/>
          </rPr>
          <t xml:space="preserve">srichardson:2019
last updated 4/5/21
CANSIM Table 25-10-0019-01 (formerly Table 127-0006)
https://www150.statcan.gc.ca/t1/tbl1/en/tv.action?pid=2510001901
</t>
        </r>
      </text>
    </comment>
  </commentList>
</comments>
</file>

<file path=xl/comments4.xml><?xml version="1.0" encoding="utf-8"?>
<comments xmlns="http://schemas.openxmlformats.org/spreadsheetml/2006/main">
  <authors>
    <author>srichardson</author>
  </authors>
  <commentList>
    <comment ref="V296" authorId="0" shapeId="0">
      <text>
        <r>
          <rPr>
            <sz val="10"/>
            <color indexed="8"/>
            <rFont val="Arial"/>
            <family val="2"/>
          </rPr>
          <t xml:space="preserve">srichardson:
</t>
        </r>
        <r>
          <rPr>
            <sz val="10"/>
            <color indexed="8"/>
            <rFont val="Arial"/>
            <family val="2"/>
          </rPr>
          <t>includes NYPA from MMWEC Contract, as submitted through AQ31 reports for 2018 [Cell Q35]</t>
        </r>
      </text>
    </comment>
    <comment ref="AK297" authorId="0" shapeId="0">
      <text>
        <r>
          <rPr>
            <sz val="10"/>
            <color indexed="8"/>
            <rFont val="Arial"/>
            <family val="2"/>
          </rPr>
          <t xml:space="preserve">srichardson:
</t>
        </r>
        <r>
          <rPr>
            <sz val="10"/>
            <color indexed="8"/>
            <rFont val="Arial"/>
            <family val="2"/>
          </rPr>
          <t>includes NYPA from MMWEC Contract, as submitted through AQ31 reports for 2018 [Cell Q35]</t>
        </r>
      </text>
    </comment>
  </commentList>
</comments>
</file>

<file path=xl/comments5.xml><?xml version="1.0" encoding="utf-8"?>
<comments xmlns="http://schemas.openxmlformats.org/spreadsheetml/2006/main">
  <authors>
    <author>Sharon Weber</author>
  </authors>
  <commentList>
    <comment ref="J3" authorId="0" shapeId="0">
      <text>
        <r>
          <rPr>
            <sz val="10"/>
            <rFont val="Arial"/>
          </rPr>
          <t>Sharon Weber:</t>
        </r>
        <r>
          <rPr>
            <sz val="10"/>
            <rFont val="Arial"/>
          </rPr>
          <t xml:space="preserve">
</t>
        </r>
        <r>
          <rPr>
            <sz val="10"/>
            <rFont val="Arial"/>
          </rPr>
          <t xml:space="preserve">http://epa.gov/climatechange/emissions/downloads10/US-GHG-Inventory-2010-Annex-2-CO2-Fossil-Fuel-Combustion.pdf
</t>
        </r>
        <r>
          <rPr>
            <sz val="10"/>
            <rFont val="Arial"/>
          </rPr>
          <t xml:space="preserve">"consumption data in the U.S. inventory are presented using higher heating values (HHV)1 rather than the
</t>
        </r>
        <r>
          <rPr>
            <sz val="10"/>
            <rFont val="Arial"/>
          </rPr>
          <t xml:space="preserve">lower heating values (LHV)2 reflected in the IPCC emission inventory methodology. This convention is followed because
</t>
        </r>
        <r>
          <rPr>
            <sz val="10"/>
            <rFont val="Arial"/>
          </rPr>
          <t xml:space="preserve">data obtained from EIA are based on HHV. Of note, however, is that EIA renewable energy statistics are often published
</t>
        </r>
        <r>
          <rPr>
            <sz val="10"/>
            <rFont val="Arial"/>
          </rPr>
          <t xml:space="preserve">using LHV. The difference between the two conventions relates to the treatment of the heat energy that is consumed in the
</t>
        </r>
        <r>
          <rPr>
            <sz val="10"/>
            <rFont val="Arial"/>
          </rPr>
          <t xml:space="preserve">process of evaporating the water contained in the fuel. The simplified convention used by the International Energy
</t>
        </r>
        <r>
          <rPr>
            <sz val="10"/>
            <rFont val="Arial"/>
          </rPr>
          <t xml:space="preserve">Agency for converting from HHV to LHV is to multiply the energy content by 0.95 for petroleum and coal and by 0.9 for
</t>
        </r>
        <r>
          <rPr>
            <sz val="10"/>
            <rFont val="Arial"/>
          </rPr>
          <t>natural gas."</t>
        </r>
      </text>
    </comment>
  </commentList>
</comments>
</file>

<file path=xl/sharedStrings.xml><?xml version="1.0" encoding="utf-8"?>
<sst xmlns="http://schemas.openxmlformats.org/spreadsheetml/2006/main" count="30517" uniqueCount="3305">
  <si>
    <t>SEMASS Resource Recovery</t>
  </si>
  <si>
    <t>SEMASS Partnership</t>
  </si>
  <si>
    <t>Bethpage Power Plant</t>
  </si>
  <si>
    <t>Calpine Eastern Corp</t>
  </si>
  <si>
    <t>William F Wyman</t>
  </si>
  <si>
    <t>FPL Energy Wyman LLC</t>
  </si>
  <si>
    <t>Wyman Hydro</t>
  </si>
  <si>
    <t>Mystic Generating Station</t>
  </si>
  <si>
    <t>Pilgrim Nuclear Power Station</t>
  </si>
  <si>
    <t>Entergy Nuclear Generation Co</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</si>
  <si>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</si>
  <si>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</si>
  <si>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</si>
  <si>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</si>
  <si>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</si>
  <si>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</si>
  <si>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</si>
  <si>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</si>
  <si>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</si>
  <si>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</si>
  <si>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</si>
  <si>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</si>
  <si>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</si>
  <si>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</si>
  <si>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</si>
  <si>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</si>
  <si>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</si>
  <si>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</si>
  <si>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</si>
  <si>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</si>
  <si>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</si>
  <si>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</si>
  <si>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</si>
  <si>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</si>
  <si>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</si>
  <si>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</si>
  <si>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</si>
  <si>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</si>
  <si>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</si>
  <si>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</si>
  <si>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</si>
  <si>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</si>
  <si>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</si>
  <si>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</si>
  <si>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</si>
  <si>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</si>
  <si>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</si>
  <si>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</si>
  <si>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</si>
  <si>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</si>
  <si>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</si>
  <si>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</si>
  <si>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</si>
  <si>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</si>
  <si>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</si>
  <si>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</si>
  <si>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</si>
  <si>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</si>
  <si>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</si>
  <si>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</si>
  <si>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</si>
  <si>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</si>
  <si>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</si>
  <si>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</si>
  <si>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</si>
  <si>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</si>
  <si>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</si>
  <si>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</si>
  <si>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</si>
  <si>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</si>
  <si>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</si>
  <si>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</si>
  <si>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</si>
  <si>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</si>
  <si>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</si>
  <si>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</si>
  <si>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</si>
  <si>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</si>
  <si>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</si>
  <si>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</si>
  <si>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</si>
  <si>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</si>
  <si>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</si>
  <si>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</si>
  <si>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</si>
  <si>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</si>
  <si>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</si>
  <si>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</si>
  <si>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</si>
  <si>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</si>
  <si>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</si>
  <si>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</si>
  <si>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</si>
  <si>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</si>
  <si>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</si>
  <si>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</si>
  <si>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</si>
  <si>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</si>
  <si>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</si>
  <si>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</si>
  <si>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</si>
  <si>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</si>
  <si>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</si>
  <si>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</si>
  <si>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</si>
  <si>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</si>
  <si>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</si>
  <si>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</si>
  <si>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</si>
  <si>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</si>
  <si>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</si>
  <si>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</si>
  <si>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Indian Point 2</t>
  </si>
  <si>
    <t>Entergy Nuclear Indian Point 2</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</si>
  <si>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</si>
  <si>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</si>
  <si>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</si>
  <si>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</si>
  <si>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</si>
  <si>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</si>
  <si>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</si>
  <si>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</si>
  <si>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</si>
  <si>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</si>
  <si>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</si>
  <si>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</si>
  <si>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NRG Oswego Harbor Power Operations Inc</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</si>
  <si>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</si>
  <si>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</si>
  <si>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</si>
  <si>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</si>
  <si>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</si>
  <si>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</si>
  <si>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</si>
  <si>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</si>
  <si>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</si>
  <si>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</si>
  <si>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</si>
  <si>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</si>
  <si>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</si>
  <si>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</si>
  <si>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</si>
  <si>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</si>
  <si>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</si>
  <si>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</si>
  <si>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</si>
  <si>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</si>
  <si>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</si>
  <si>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</si>
  <si>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</si>
  <si>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</si>
  <si>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</si>
  <si>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</si>
  <si>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</si>
  <si>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</si>
  <si>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</si>
  <si>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</si>
  <si>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</si>
  <si>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</si>
  <si>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</si>
  <si>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</si>
  <si>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</si>
  <si>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</si>
  <si>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</si>
  <si>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</si>
  <si>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</si>
  <si>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</si>
  <si>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</si>
  <si>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</si>
  <si>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</si>
  <si>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</si>
  <si>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</si>
  <si>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</si>
  <si>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</si>
  <si>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Millennium Power Partners LP</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</si>
  <si>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</si>
  <si>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</si>
  <si>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</si>
  <si>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</si>
  <si>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</si>
  <si>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</si>
  <si>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</si>
  <si>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</si>
  <si>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</si>
  <si>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</si>
  <si>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</si>
  <si>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</si>
  <si>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</si>
  <si>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</si>
  <si>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</si>
  <si>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</si>
  <si>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</si>
  <si>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</si>
  <si>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ISO-NE Net Imorts/Exports of Energy from Other Control Areas (GWh)</t>
  </si>
  <si>
    <t>Actual Imports</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</si>
  <si>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</si>
  <si>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</si>
  <si>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</si>
  <si>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</si>
  <si>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</si>
  <si>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</si>
  <si>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</si>
  <si>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</si>
  <si>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</si>
  <si>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</si>
  <si>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</si>
  <si>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</si>
  <si>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</si>
  <si>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</si>
  <si>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</si>
  <si>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</si>
  <si>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</si>
  <si>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</si>
  <si>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</si>
  <si>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</si>
  <si>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</si>
  <si>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</si>
  <si>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</si>
  <si>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</si>
  <si>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</si>
  <si>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</si>
  <si>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</si>
  <si>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</si>
  <si>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</si>
  <si>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</si>
  <si>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</si>
  <si>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</si>
  <si>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</si>
  <si>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</si>
  <si>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</si>
  <si>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</si>
  <si>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</si>
  <si>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</si>
  <si>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</si>
  <si>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</si>
  <si>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</si>
  <si>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</si>
  <si>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</si>
  <si>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</si>
  <si>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</si>
  <si>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</si>
  <si>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</si>
  <si>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</si>
  <si>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</si>
  <si>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</si>
  <si>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</si>
  <si>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</si>
  <si>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</si>
  <si>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</si>
  <si>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</si>
  <si>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</si>
  <si>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</si>
  <si>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</si>
  <si>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</si>
  <si>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</si>
  <si>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</si>
  <si>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</si>
  <si>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</si>
  <si>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</si>
  <si>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</si>
  <si>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</si>
  <si>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</si>
  <si>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</si>
  <si>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</si>
  <si>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</si>
  <si>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</si>
  <si>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</si>
  <si>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Millennium Power Partners</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</si>
  <si>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</si>
  <si>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</si>
  <si>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</si>
  <si>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</si>
  <si>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</si>
  <si>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</si>
  <si>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</si>
  <si>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</si>
  <si>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</si>
  <si>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</si>
  <si>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</si>
  <si>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</si>
  <si>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</si>
  <si>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</si>
  <si>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</si>
  <si>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</si>
  <si>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</si>
  <si>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</si>
  <si>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</si>
  <si>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</si>
  <si>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</si>
  <si>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</si>
  <si>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</si>
  <si>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</si>
  <si>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</si>
  <si>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</si>
  <si>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</si>
  <si>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</si>
  <si>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</si>
  <si>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</si>
  <si>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</si>
  <si>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</si>
  <si>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</si>
  <si>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</si>
  <si>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</si>
  <si>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</si>
  <si>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</si>
  <si>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</si>
  <si>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Indeck-Corinth Energy Center</t>
  </si>
  <si>
    <t>Indeck-Olean Energy Center</t>
  </si>
  <si>
    <t>Indeck-Oswego Energy Center</t>
  </si>
  <si>
    <t>Indeck-Silver Springs Energy Center</t>
  </si>
  <si>
    <t>Indeck-Yerkes Energy Center</t>
  </si>
  <si>
    <t>Independence</t>
  </si>
  <si>
    <t>Massena Energy Facility</t>
  </si>
  <si>
    <t>NRG Dunkirk Power</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</si>
  <si>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</si>
  <si>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</si>
  <si>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</si>
  <si>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</si>
  <si>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</si>
  <si>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</si>
  <si>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</si>
  <si>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</si>
  <si>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</si>
  <si>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</si>
  <si>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</si>
  <si>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</si>
  <si>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</si>
  <si>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</si>
  <si>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</si>
  <si>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</si>
  <si>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</si>
  <si>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</si>
  <si>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</si>
  <si>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</si>
  <si>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</si>
  <si>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</si>
  <si>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</si>
  <si>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</si>
  <si>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</si>
  <si>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</si>
  <si>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</si>
  <si>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</si>
  <si>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</si>
  <si>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</si>
  <si>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</si>
  <si>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</si>
  <si>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</si>
  <si>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</si>
  <si>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</si>
  <si>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</si>
  <si>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</si>
  <si>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</si>
  <si>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</si>
  <si>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</si>
  <si>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</si>
  <si>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</si>
  <si>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</si>
  <si>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</si>
  <si>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</si>
  <si>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</si>
  <si>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</si>
  <si>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</si>
  <si>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</si>
  <si>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</si>
  <si>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</si>
  <si>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</si>
  <si>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</si>
  <si>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</si>
  <si>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</si>
  <si>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</si>
  <si>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</si>
  <si>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</si>
  <si>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</si>
  <si>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</si>
  <si>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</si>
  <si>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</si>
  <si>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</si>
  <si>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</si>
  <si>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</si>
  <si>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</si>
  <si>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</si>
  <si>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</si>
  <si>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</si>
  <si>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</si>
  <si>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</si>
  <si>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</si>
  <si>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</si>
  <si>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</si>
  <si>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</si>
  <si>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</si>
  <si>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</si>
  <si>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</si>
  <si>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</si>
  <si>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</si>
  <si>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</si>
  <si>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</si>
  <si>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</si>
  <si>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</si>
  <si>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</si>
  <si>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</si>
  <si>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</si>
  <si>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</si>
  <si>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</si>
  <si>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</si>
  <si>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</si>
  <si>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</si>
  <si>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</si>
  <si>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</si>
  <si>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</si>
  <si>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</si>
  <si>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</si>
  <si>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</si>
  <si>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</si>
  <si>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</si>
  <si>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Selkirk Cogen</t>
  </si>
  <si>
    <t>Selkirk Cogen Partners LP</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</si>
  <si>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</si>
  <si>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</si>
  <si>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</si>
  <si>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</si>
  <si>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</si>
  <si>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</si>
  <si>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</si>
  <si>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</si>
  <si>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</si>
  <si>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</si>
  <si>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</si>
  <si>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</si>
  <si>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Medical Area Total Energy Plant</t>
  </si>
  <si>
    <t>Medical Area Total Egy Plt Inc</t>
  </si>
  <si>
    <t>Verso Paper Androscoggin LLC</t>
  </si>
  <si>
    <t>OBS</t>
  </si>
  <si>
    <t>Cornell University Central Heat</t>
  </si>
  <si>
    <t>Cornell University</t>
  </si>
  <si>
    <t>Somerset Plant</t>
  </si>
  <si>
    <t>Sappi Fine Paper North America-Somerset</t>
  </si>
  <si>
    <t>OBL</t>
  </si>
  <si>
    <t>S D Warren Westbrook</t>
  </si>
  <si>
    <t>S D Warren Co.- Westbrook</t>
  </si>
  <si>
    <t>PG</t>
  </si>
  <si>
    <t>OOG</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</si>
  <si>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</si>
  <si>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</si>
  <si>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</si>
  <si>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</si>
  <si>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</si>
  <si>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</si>
  <si>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</si>
  <si>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</si>
  <si>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</si>
  <si>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</si>
  <si>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</si>
  <si>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</si>
  <si>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</si>
  <si>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</si>
  <si>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</si>
  <si>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</si>
  <si>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</si>
  <si>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</si>
  <si>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Noble Clinton Windpark LLC</t>
  </si>
  <si>
    <t>Noble Wind Operations LLC</t>
  </si>
  <si>
    <t>Noble Ellenburg Windpark LLC</t>
  </si>
  <si>
    <t>Noble Bliss Windpark LLC</t>
  </si>
  <si>
    <t>Noble Altona Windpark LLC</t>
  </si>
  <si>
    <t>Noble Wethersfield Windpark LLC</t>
  </si>
  <si>
    <t>Noble Chateaugay Windpark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</si>
  <si>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</si>
  <si>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</si>
  <si>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</si>
  <si>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</si>
  <si>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</si>
  <si>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</si>
  <si>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</si>
  <si>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</si>
  <si>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</si>
  <si>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</si>
  <si>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</si>
  <si>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</si>
  <si>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</si>
  <si>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</si>
  <si>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</si>
  <si>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</si>
  <si>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ANP Bellingham Energy Company, LLC</t>
  </si>
  <si>
    <t>ANP Blackstone Energy Company, LLC</t>
  </si>
  <si>
    <t>Deer Island Treatment</t>
  </si>
  <si>
    <t>S42</t>
  </si>
  <si>
    <t>S43</t>
  </si>
  <si>
    <t>MASSPOWER</t>
  </si>
  <si>
    <t>Medway Station</t>
  </si>
  <si>
    <t>J1T1</t>
  </si>
  <si>
    <t>J1T2</t>
  </si>
  <si>
    <t>J2T1</t>
  </si>
  <si>
    <t>J2T2</t>
  </si>
  <si>
    <t>J3T1</t>
  </si>
  <si>
    <t>J3T2</t>
  </si>
  <si>
    <t>Pittsfield Generating</t>
  </si>
  <si>
    <t>Potter</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</si>
  <si>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</si>
  <si>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</si>
  <si>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</si>
  <si>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</si>
  <si>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</si>
  <si>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</si>
  <si>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</si>
  <si>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</si>
  <si>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</si>
  <si>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</si>
  <si>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</si>
  <si>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</si>
  <si>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</si>
  <si>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</si>
  <si>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</si>
  <si>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</si>
  <si>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</si>
  <si>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</si>
  <si>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</si>
  <si>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</si>
  <si>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</si>
  <si>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</si>
  <si>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</si>
  <si>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</si>
  <si>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</si>
  <si>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</si>
  <si>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</si>
  <si>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41SH</t>
  </si>
  <si>
    <t>42RH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</si>
  <si>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</si>
  <si>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</si>
  <si>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</si>
  <si>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</si>
  <si>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</si>
  <si>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</si>
  <si>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</si>
  <si>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</si>
  <si>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</si>
  <si>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</si>
  <si>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</si>
  <si>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</si>
  <si>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</si>
  <si>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</si>
  <si>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</si>
  <si>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</si>
  <si>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</si>
  <si>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</si>
  <si>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</si>
  <si>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</si>
  <si>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</si>
  <si>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</si>
  <si>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</si>
  <si>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</si>
  <si>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</si>
  <si>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</si>
  <si>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</si>
  <si>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</si>
  <si>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</si>
  <si>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</si>
  <si>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</si>
  <si>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</si>
  <si>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</si>
  <si>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</si>
  <si>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</si>
  <si>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</si>
  <si>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</si>
  <si>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</si>
  <si>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</si>
  <si>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</si>
  <si>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</si>
  <si>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</si>
  <si>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</si>
  <si>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</si>
  <si>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</si>
  <si>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</si>
  <si>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</si>
  <si>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</si>
  <si>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</si>
  <si>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</si>
  <si>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</si>
  <si>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</si>
  <si>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</si>
  <si>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</si>
  <si>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</si>
  <si>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</si>
  <si>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</si>
  <si>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</si>
  <si>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</si>
  <si>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</si>
  <si>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</si>
  <si>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</si>
  <si>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</si>
  <si>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</si>
  <si>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</si>
  <si>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</si>
  <si>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</si>
  <si>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</si>
  <si>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</si>
  <si>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</si>
  <si>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</si>
  <si>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</si>
  <si>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</si>
  <si>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</si>
  <si>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</si>
  <si>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</si>
  <si>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</si>
  <si>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</si>
  <si>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</si>
  <si>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</si>
  <si>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Eastport</t>
  </si>
  <si>
    <t>Androscoggin 3</t>
  </si>
  <si>
    <t>Bar Mills</t>
  </si>
  <si>
    <t>Bonny Eagle</t>
  </si>
  <si>
    <t>Cape Gas Turbine</t>
  </si>
  <si>
    <t>FPL Energy Cape LLC</t>
  </si>
  <si>
    <t>Deer Rips</t>
  </si>
  <si>
    <t>Gulf Island</t>
  </si>
  <si>
    <t>Hiram</t>
  </si>
  <si>
    <t>Messalonskee 2 (Oakland)</t>
  </si>
  <si>
    <t>Messalonskee 3</t>
  </si>
  <si>
    <t>North Gorham</t>
  </si>
  <si>
    <t>Shawmut</t>
  </si>
  <si>
    <t>Skelton</t>
  </si>
  <si>
    <t>West Buxton</t>
  </si>
  <si>
    <t>Caribou Generation Station</t>
  </si>
  <si>
    <t>Squa Pan Hydro Station</t>
  </si>
  <si>
    <t>Exelon Framingham LLC</t>
  </si>
  <si>
    <t>Exelon Power</t>
  </si>
  <si>
    <t>Exelon Medway LLC</t>
  </si>
  <si>
    <t>Oak Bluffs Diesel Generating Facility</t>
  </si>
  <si>
    <t>Boatlock</t>
  </si>
  <si>
    <t>City of Holyoke Gas and Electric Dept.</t>
  </si>
  <si>
    <t>Chemical</t>
  </si>
  <si>
    <t>Hadley Falls</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</si>
  <si>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</si>
  <si>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</si>
  <si>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</si>
  <si>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</si>
  <si>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</si>
  <si>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</si>
  <si>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</si>
  <si>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</si>
  <si>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</si>
  <si>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</si>
  <si>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</si>
  <si>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</si>
  <si>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</si>
  <si>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</si>
  <si>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</si>
  <si>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</si>
  <si>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</si>
  <si>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</si>
  <si>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</si>
  <si>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</si>
  <si>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</si>
  <si>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</si>
  <si>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</si>
  <si>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</si>
  <si>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</si>
  <si>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</si>
  <si>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</si>
  <si>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</si>
  <si>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</si>
  <si>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</si>
  <si>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</si>
  <si>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</si>
  <si>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</si>
  <si>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</si>
  <si>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</si>
  <si>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</si>
  <si>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</si>
  <si>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</si>
  <si>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</si>
  <si>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</si>
  <si>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</si>
  <si>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</si>
  <si>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</si>
  <si>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</si>
  <si>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</si>
  <si>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</si>
  <si>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</si>
  <si>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</si>
  <si>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</si>
  <si>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</si>
  <si>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</si>
  <si>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</si>
  <si>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</si>
  <si>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</si>
  <si>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</si>
  <si>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</si>
  <si>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</si>
  <si>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</si>
  <si>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</si>
  <si>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</si>
  <si>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</si>
  <si>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</si>
  <si>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</si>
  <si>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</si>
  <si>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</si>
  <si>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</si>
  <si>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</si>
  <si>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</si>
  <si>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</si>
  <si>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</si>
  <si>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</si>
  <si>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</si>
  <si>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</si>
  <si>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</si>
  <si>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</si>
  <si>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</si>
  <si>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</si>
  <si>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</si>
  <si>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</si>
  <si>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</si>
  <si>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</si>
  <si>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</si>
  <si>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</si>
  <si>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</si>
  <si>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</si>
  <si>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</si>
  <si>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</si>
  <si>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</si>
  <si>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Mongaup</t>
  </si>
  <si>
    <t>Rio</t>
  </si>
  <si>
    <t>Swinging Bridge 2</t>
  </si>
  <si>
    <t>Rochester 26</t>
  </si>
  <si>
    <t>Rochester Gas &amp; Electric Corp</t>
  </si>
  <si>
    <t>Rochester 2</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</si>
  <si>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</si>
  <si>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</si>
  <si>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</si>
  <si>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</si>
  <si>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</si>
  <si>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</si>
  <si>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</si>
  <si>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</si>
  <si>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</si>
  <si>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</si>
  <si>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</si>
  <si>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</si>
  <si>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</si>
  <si>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</si>
  <si>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</si>
  <si>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</si>
  <si>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</si>
  <si>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</si>
  <si>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</si>
  <si>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</si>
  <si>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</si>
  <si>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</si>
  <si>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</si>
  <si>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</si>
  <si>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</si>
  <si>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</si>
  <si>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</si>
  <si>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</si>
  <si>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</si>
  <si>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</si>
  <si>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</si>
  <si>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</si>
  <si>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</si>
  <si>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</si>
  <si>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</si>
  <si>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</si>
  <si>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</si>
  <si>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</si>
  <si>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</si>
  <si>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</si>
  <si>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</si>
  <si>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</si>
  <si>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</si>
  <si>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Omya Inc</t>
  </si>
  <si>
    <t>Beldens</t>
  </si>
  <si>
    <t>Carver Falls</t>
  </si>
  <si>
    <t>Gorge 18</t>
  </si>
  <si>
    <t>Mcindoes</t>
  </si>
  <si>
    <t>Mill C</t>
  </si>
  <si>
    <t>Vergennes 9</t>
  </si>
  <si>
    <t>Waterbury 22</t>
  </si>
  <si>
    <t>E J West</t>
  </si>
  <si>
    <t>Searsburg</t>
  </si>
  <si>
    <t>Block Island</t>
  </si>
  <si>
    <t>Wilkins Station</t>
  </si>
  <si>
    <t>Highgate Falls</t>
  </si>
  <si>
    <t>Wrightsville Hydro Plant</t>
  </si>
  <si>
    <t>Bolton Falls</t>
  </si>
  <si>
    <t>Richard M Flynn</t>
  </si>
  <si>
    <t>Florence</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</si>
  <si>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</si>
  <si>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</si>
  <si>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</si>
  <si>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</si>
  <si>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</si>
  <si>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</si>
  <si>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</si>
  <si>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</si>
  <si>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</si>
  <si>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</si>
  <si>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</si>
  <si>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</si>
  <si>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</si>
  <si>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</si>
  <si>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</si>
  <si>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</si>
  <si>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</si>
  <si>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</si>
  <si>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</si>
  <si>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</si>
  <si>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</si>
  <si>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</si>
  <si>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</si>
  <si>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</si>
  <si>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</si>
  <si>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</si>
  <si>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</si>
  <si>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</si>
  <si>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Lower Saranac Hydro Partner LP</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</si>
  <si>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</si>
  <si>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</si>
  <si>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</si>
  <si>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</si>
  <si>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</si>
  <si>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</si>
  <si>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</si>
  <si>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</si>
  <si>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</si>
  <si>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</si>
  <si>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</si>
  <si>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</si>
  <si>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</si>
  <si>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</si>
  <si>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</si>
  <si>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</si>
  <si>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Sheldon Vermont Hydro Co., Inc.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</si>
  <si>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</si>
  <si>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</si>
  <si>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</si>
  <si>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</si>
  <si>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</si>
  <si>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</si>
  <si>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</si>
  <si>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</si>
  <si>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</si>
  <si>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</si>
  <si>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</si>
  <si>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</si>
  <si>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</si>
  <si>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</si>
  <si>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</si>
  <si>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</si>
  <si>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</si>
  <si>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</si>
  <si>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Boott Hydropower Inc</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</si>
  <si>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</si>
  <si>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</si>
  <si>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</si>
  <si>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</si>
  <si>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</si>
  <si>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</si>
  <si>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</si>
  <si>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</si>
  <si>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</si>
  <si>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</si>
  <si>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</si>
  <si>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Swift River Hydro Operations Co., Inc</t>
  </si>
  <si>
    <t>Barker Lower</t>
  </si>
  <si>
    <t>Lachute Hydro Lower</t>
  </si>
  <si>
    <t>Lachute Hydro Co Inc</t>
  </si>
  <si>
    <t>Lachute Hydro Upper</t>
  </si>
  <si>
    <t>Port Leyden Hydroelectric Project</t>
  </si>
  <si>
    <t>Empire Hydro Partners</t>
  </si>
  <si>
    <t>Oakdale Power Station</t>
  </si>
  <si>
    <t>Massachusetts Water Res Auth</t>
  </si>
  <si>
    <t>Cosgrove Intake and Power Station</t>
  </si>
  <si>
    <t>Springfield Power LLC</t>
  </si>
  <si>
    <t>DG Whitefield LLC</t>
  </si>
  <si>
    <t>Walden</t>
  </si>
  <si>
    <t>Consolidated Hydro New York, Inc.</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</si>
  <si>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</si>
  <si>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</si>
  <si>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</si>
  <si>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</si>
  <si>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</si>
  <si>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</si>
  <si>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</si>
  <si>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</si>
  <si>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</si>
  <si>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</si>
  <si>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</si>
  <si>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</si>
  <si>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</si>
  <si>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</si>
  <si>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</si>
  <si>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</si>
  <si>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</si>
  <si>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</si>
  <si>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Triton Power Co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</si>
  <si>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</si>
  <si>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</si>
  <si>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</si>
  <si>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</si>
  <si>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</si>
  <si>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</si>
  <si>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</si>
  <si>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</si>
  <si>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</si>
  <si>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</si>
  <si>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Pinetree Power</t>
  </si>
  <si>
    <t>Pinetree Power Inc</t>
  </si>
  <si>
    <t>Regional Waste Systems</t>
  </si>
  <si>
    <t>Ecomaine</t>
  </si>
  <si>
    <t>Robbins Lumber</t>
  </si>
  <si>
    <t>Robbins Lumber Inc</t>
  </si>
  <si>
    <t>Hewittville Hydroelectric</t>
  </si>
  <si>
    <t>Unionville Hydro Project 2499 NY</t>
  </si>
  <si>
    <t>Pioneer Valley Resource Recovery</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</si>
  <si>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</si>
  <si>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</si>
  <si>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</si>
  <si>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</si>
  <si>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</si>
  <si>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</si>
  <si>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</si>
  <si>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</si>
  <si>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</si>
  <si>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</si>
  <si>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</si>
  <si>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</si>
  <si>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</si>
  <si>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</si>
  <si>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</si>
  <si>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</si>
  <si>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</si>
  <si>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</si>
  <si>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</si>
  <si>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</si>
  <si>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</si>
  <si>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</si>
  <si>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</si>
  <si>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</si>
  <si>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</si>
  <si>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</si>
  <si>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</si>
  <si>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</si>
  <si>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</si>
  <si>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</si>
  <si>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Lawrence Hydroelectric Assoc</t>
  </si>
  <si>
    <t>New Milford Gas Recovery</t>
  </si>
  <si>
    <t>WM Renewable Energy LLC</t>
  </si>
  <si>
    <t>Monroe Livingston Gas Recovery</t>
  </si>
  <si>
    <t>High Acres Gas Recovery</t>
  </si>
  <si>
    <t>Covanta Bristol Energy</t>
  </si>
  <si>
    <t>Covanta Bristol Inc</t>
  </si>
  <si>
    <t>Covanta Babylon Inc</t>
  </si>
  <si>
    <t>Lyonsdale Associates</t>
  </si>
  <si>
    <t>Burrows Paper Corp</t>
  </si>
  <si>
    <t>Huntington Resource Recovery Facility</t>
  </si>
  <si>
    <t>Huntington Resource Recovery</t>
  </si>
  <si>
    <t>Onondaga County Resource Recovery</t>
  </si>
  <si>
    <t>Covanta Onondega LP</t>
  </si>
  <si>
    <t>Gardiner</t>
  </si>
  <si>
    <t>Pumpkin Hill</t>
  </si>
  <si>
    <t>Salmon Falls</t>
  </si>
  <si>
    <t>Somersworth Lower Great Dam</t>
  </si>
  <si>
    <t>Pinetree Power Tamworth</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</si>
  <si>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</si>
  <si>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</si>
  <si>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</si>
  <si>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</si>
  <si>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</si>
  <si>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</si>
  <si>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</si>
  <si>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</si>
  <si>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</si>
  <si>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</si>
  <si>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</si>
  <si>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</si>
  <si>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</si>
  <si>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</si>
  <si>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</si>
  <si>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Ryegate Power Station</t>
  </si>
  <si>
    <t>West Delaware Tunnel Plant</t>
  </si>
  <si>
    <t>Little Falls Hydro</t>
  </si>
  <si>
    <t>Little Falls Hydroelec Assoc</t>
  </si>
  <si>
    <t>Hofstra University</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</si>
  <si>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</si>
  <si>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</si>
  <si>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</si>
  <si>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</si>
  <si>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</si>
  <si>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</si>
  <si>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</si>
  <si>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</si>
  <si>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</si>
  <si>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</si>
  <si>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</si>
  <si>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</si>
  <si>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</si>
  <si>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</si>
  <si>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</si>
  <si>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</si>
  <si>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</si>
  <si>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</si>
  <si>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</si>
  <si>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</si>
  <si>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</si>
  <si>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</si>
  <si>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</si>
  <si>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</si>
  <si>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</si>
  <si>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Colebrook Hydroelectric</t>
  </si>
  <si>
    <t>Metropolitan Dist of Hartford</t>
  </si>
  <si>
    <t>Goodwin Hydroelectric</t>
  </si>
  <si>
    <t>Chace Mill Winooski One</t>
  </si>
  <si>
    <t>EHC West Hopkinton</t>
  </si>
  <si>
    <t>Kinneytown New Old</t>
  </si>
  <si>
    <t>Kinneytown Hydro Co Inc</t>
  </si>
  <si>
    <t>Alice Falls Hydro Project</t>
  </si>
  <si>
    <t>Stillwater Hydro Electric Project</t>
  </si>
  <si>
    <t>Dartmouth College Heating Plant</t>
  </si>
  <si>
    <t>Dartmouth College</t>
  </si>
  <si>
    <t>Rollinsford</t>
  </si>
  <si>
    <t>Mascoma Hydro</t>
  </si>
  <si>
    <t>Crotched Mountain Rehabilitation Center</t>
  </si>
  <si>
    <t>Crotched Mt Rehab Ctr Inc</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</si>
  <si>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</si>
  <si>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</si>
  <si>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</si>
  <si>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</si>
  <si>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</si>
  <si>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</si>
  <si>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</si>
  <si>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</si>
  <si>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</si>
  <si>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</si>
  <si>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</si>
  <si>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</si>
  <si>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</si>
  <si>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</si>
  <si>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</si>
  <si>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</si>
  <si>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</si>
  <si>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</si>
  <si>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</si>
  <si>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</si>
  <si>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</si>
  <si>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</si>
  <si>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</si>
  <si>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</si>
  <si>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</si>
  <si>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</si>
  <si>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</si>
  <si>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</si>
  <si>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</si>
  <si>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</si>
  <si>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</si>
  <si>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</si>
  <si>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</si>
  <si>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</si>
  <si>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</si>
  <si>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</si>
  <si>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</si>
  <si>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</si>
  <si>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</si>
  <si>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</si>
  <si>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</si>
  <si>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</si>
  <si>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</si>
  <si>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</si>
  <si>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</si>
  <si>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</si>
  <si>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</si>
  <si>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</si>
  <si>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</si>
  <si>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</si>
  <si>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</si>
  <si>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</si>
  <si>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</si>
  <si>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</si>
  <si>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</si>
  <si>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</si>
  <si>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</si>
  <si>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</si>
  <si>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</si>
  <si>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</si>
  <si>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</si>
  <si>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</si>
  <si>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</si>
  <si>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</si>
  <si>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</si>
  <si>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Newark America</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</si>
  <si>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</si>
  <si>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</si>
  <si>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</si>
  <si>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</si>
  <si>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</si>
  <si>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</si>
  <si>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</si>
  <si>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</si>
  <si>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</si>
  <si>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</si>
  <si>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</si>
  <si>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</si>
  <si>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City of Marblehead - (MA)</t>
  </si>
  <si>
    <t>Village of Swanton - (VT)</t>
  </si>
  <si>
    <t>Washington Electric Coop - (VT)</t>
  </si>
  <si>
    <t>Town of Princeton - (MA)</t>
  </si>
  <si>
    <t>Joseph J Seymour Power Project</t>
  </si>
  <si>
    <t>Dutchess Cnty Resource Recovery Facility</t>
  </si>
  <si>
    <t>Woodland Pulp LLC</t>
  </si>
  <si>
    <t>MWH</t>
  </si>
  <si>
    <t>KEI (Maine) Power Management (III) LLC</t>
  </si>
  <si>
    <t>EWP RENEWABLE CORP.</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</si>
  <si>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</si>
  <si>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</si>
  <si>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</si>
  <si>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</si>
  <si>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</si>
  <si>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</si>
  <si>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</si>
  <si>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</si>
  <si>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</si>
  <si>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</si>
  <si>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</si>
  <si>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</si>
  <si>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</si>
  <si>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</si>
  <si>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</si>
  <si>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</si>
  <si>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</si>
  <si>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</si>
  <si>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</si>
  <si>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</si>
  <si>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</si>
  <si>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Newark America Mill</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</si>
  <si>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</si>
  <si>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</si>
  <si>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</si>
  <si>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</si>
  <si>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</si>
  <si>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</si>
  <si>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</si>
  <si>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</si>
  <si>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</si>
  <si>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</si>
  <si>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</si>
  <si>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</si>
  <si>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</si>
  <si>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</si>
  <si>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</si>
  <si>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</si>
  <si>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</si>
  <si>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</si>
  <si>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</si>
  <si>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</si>
  <si>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</si>
  <si>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</si>
  <si>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</si>
  <si>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</si>
  <si>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</si>
  <si>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</si>
  <si>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</si>
  <si>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Eagle Creek RE LLC</t>
  </si>
  <si>
    <t>City of Watertown - (NY)</t>
  </si>
  <si>
    <t>City of Chicopee - (MA)</t>
  </si>
  <si>
    <t>Princeton Wind Farm</t>
  </si>
  <si>
    <t>ReEnergy Fort Fairfield</t>
  </si>
  <si>
    <t>ReEnergy Fort Fairfield LLC</t>
  </si>
  <si>
    <t>Dutchess County RRA</t>
  </si>
  <si>
    <t>ReEnergy Livermore Falls</t>
  </si>
  <si>
    <t>Al Turi</t>
  </si>
  <si>
    <t>Ameresco LFG I Inc</t>
  </si>
  <si>
    <t>ReEnergy Stratton LLC</t>
  </si>
  <si>
    <t>Huntington Falls</t>
  </si>
  <si>
    <t>Northbrook Carthage LLC</t>
  </si>
  <si>
    <t>ReEnergy Biomass LLC</t>
  </si>
  <si>
    <t>CT Resource Rec Authority Facility</t>
  </si>
  <si>
    <t>NAES Corp</t>
  </si>
  <si>
    <t>Nashua Plant</t>
  </si>
  <si>
    <t>MM Taunton Energy</t>
  </si>
  <si>
    <t>MM Taunton Energy LLC</t>
  </si>
  <si>
    <t>MM Albany Energy</t>
  </si>
  <si>
    <t>MM Albany Energy LLC</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</si>
  <si>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</si>
  <si>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</si>
  <si>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</si>
  <si>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</si>
  <si>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</si>
  <si>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</si>
  <si>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</si>
  <si>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</si>
  <si>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</si>
  <si>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</si>
  <si>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</si>
  <si>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</si>
  <si>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</si>
  <si>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</si>
  <si>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</si>
  <si>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</si>
  <si>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</si>
  <si>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</si>
  <si>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</si>
  <si>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</si>
  <si>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</si>
  <si>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</si>
  <si>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</si>
  <si>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</si>
  <si>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</si>
  <si>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</si>
  <si>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</si>
  <si>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</si>
  <si>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</si>
  <si>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</si>
  <si>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</si>
  <si>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</si>
  <si>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</si>
  <si>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</si>
  <si>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</si>
  <si>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</si>
  <si>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</si>
  <si>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</si>
  <si>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</si>
  <si>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</si>
  <si>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</si>
  <si>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</si>
  <si>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</si>
  <si>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Cayuga Operating Company</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</si>
  <si>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</si>
  <si>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</si>
  <si>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</si>
  <si>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</si>
  <si>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</si>
  <si>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</si>
  <si>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</si>
  <si>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</si>
  <si>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</si>
  <si>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</si>
  <si>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</si>
  <si>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</si>
  <si>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</si>
  <si>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</si>
  <si>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</si>
  <si>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</si>
  <si>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</si>
  <si>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</si>
  <si>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</si>
  <si>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</si>
  <si>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</si>
  <si>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</si>
  <si>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</si>
  <si>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</si>
  <si>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</si>
  <si>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</si>
  <si>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</si>
  <si>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</si>
  <si>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</si>
  <si>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</si>
  <si>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Somerset Operating Co LLC</t>
  </si>
  <si>
    <t>Bear Swamp Power Company LLC</t>
  </si>
  <si>
    <t>Roseton Generating Facility</t>
  </si>
  <si>
    <t>Black River Generation LLC</t>
  </si>
  <si>
    <t>Rumford Falls Hydro Facility</t>
  </si>
  <si>
    <t>KTZ Hydro LLC</t>
  </si>
  <si>
    <t>Power City Partners LP</t>
  </si>
  <si>
    <t>Bassett Medical Center</t>
  </si>
  <si>
    <t>Tiverton Power LLC</t>
  </si>
  <si>
    <t>Medway Hydro</t>
  </si>
  <si>
    <t>Marble River Wind Farm</t>
  </si>
  <si>
    <t>Marble River, LLC</t>
  </si>
  <si>
    <t>Steel Winds II</t>
  </si>
  <si>
    <t>Bull Hill Wind Project</t>
  </si>
  <si>
    <t>Dorchester Solar Site</t>
  </si>
  <si>
    <t>New England Wind LLC</t>
  </si>
  <si>
    <t>Oneida Herkimer</t>
  </si>
  <si>
    <t>Record Hill Wind</t>
  </si>
  <si>
    <t>Record Hill Wind LLC</t>
  </si>
  <si>
    <t>Zotos International WPGF</t>
  </si>
  <si>
    <t>Zotos International</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</si>
  <si>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</si>
  <si>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</si>
  <si>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</si>
  <si>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</si>
  <si>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</si>
  <si>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</si>
  <si>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</si>
  <si>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</si>
  <si>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</si>
  <si>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</si>
  <si>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</si>
  <si>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</si>
  <si>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</si>
  <si>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</si>
  <si>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</si>
  <si>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</si>
  <si>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</si>
  <si>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</si>
  <si>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</si>
  <si>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</si>
  <si>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</si>
  <si>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</si>
  <si>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</si>
  <si>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</si>
  <si>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</si>
  <si>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</si>
  <si>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</si>
  <si>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</si>
  <si>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</si>
  <si>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</si>
  <si>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</si>
  <si>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</si>
  <si>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Mercy Medical Center</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</si>
  <si>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</si>
  <si>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</si>
  <si>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</si>
  <si>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</si>
  <si>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</si>
  <si>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</si>
  <si>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</si>
  <si>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</si>
  <si>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</si>
  <si>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</si>
  <si>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</si>
  <si>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</si>
  <si>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</si>
  <si>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</si>
  <si>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</si>
  <si>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</si>
  <si>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</si>
  <si>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</si>
  <si>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</si>
  <si>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SREC Bath LFGTE</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</si>
  <si>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</si>
  <si>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</si>
  <si>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</si>
  <si>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</si>
  <si>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</si>
  <si>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</si>
  <si>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</si>
  <si>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</si>
  <si>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</si>
  <si>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</si>
  <si>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</si>
  <si>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</si>
  <si>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</si>
  <si>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</si>
  <si>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</si>
  <si>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</si>
  <si>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</si>
  <si>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</si>
  <si>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</si>
  <si>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</si>
  <si>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</si>
  <si>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</si>
  <si>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</si>
  <si>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</si>
  <si>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</si>
  <si>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</si>
  <si>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</si>
  <si>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</si>
  <si>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</si>
  <si>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</si>
  <si>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</si>
  <si>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</si>
  <si>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</si>
  <si>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</si>
  <si>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</si>
  <si>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</si>
  <si>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</si>
  <si>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</si>
  <si>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</si>
  <si>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</si>
  <si>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</si>
  <si>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</si>
  <si>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</si>
  <si>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</si>
  <si>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</si>
  <si>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</si>
  <si>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</si>
  <si>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</si>
  <si>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</si>
  <si>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</si>
  <si>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</si>
  <si>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</si>
  <si>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</si>
  <si>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</si>
  <si>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</si>
  <si>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</si>
  <si>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49% MSN &amp; 51% MSB</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</si>
  <si>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</si>
  <si>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</si>
  <si>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</si>
  <si>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</si>
  <si>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</si>
  <si>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</si>
  <si>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</si>
  <si>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</si>
  <si>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</si>
  <si>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</si>
  <si>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</si>
  <si>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</si>
  <si>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</si>
  <si>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</si>
  <si>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</si>
  <si>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</si>
  <si>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</si>
  <si>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</si>
  <si>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</si>
  <si>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</si>
  <si>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</si>
  <si>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</si>
  <si>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</si>
  <si>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</si>
  <si>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</si>
  <si>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</si>
  <si>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</si>
  <si>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</si>
  <si>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</si>
  <si>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</si>
  <si>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</si>
  <si>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</si>
  <si>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</si>
  <si>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</si>
  <si>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</si>
  <si>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</si>
  <si>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</si>
  <si>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</si>
  <si>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</si>
  <si>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</si>
  <si>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</si>
  <si>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</si>
  <si>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</si>
  <si>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</si>
  <si>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</si>
  <si>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</si>
  <si>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</si>
  <si>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</si>
  <si>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</si>
  <si>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</si>
  <si>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</si>
  <si>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</si>
  <si>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</si>
  <si>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</si>
  <si>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</si>
  <si>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</si>
  <si>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</si>
  <si>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</si>
  <si>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</si>
  <si>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</si>
  <si>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</si>
  <si>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</si>
  <si>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</si>
  <si>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</si>
  <si>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</si>
  <si>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</si>
  <si>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</si>
  <si>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</si>
  <si>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</si>
  <si>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</si>
  <si>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From Q</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</si>
  <si>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</si>
  <si>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</si>
  <si>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</si>
  <si>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</si>
  <si>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</si>
  <si>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</si>
  <si>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</si>
  <si>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</si>
  <si>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</si>
  <si>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</si>
  <si>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</si>
  <si>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</si>
  <si>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</si>
  <si>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</si>
  <si>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</si>
  <si>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</si>
  <si>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</si>
  <si>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</si>
  <si>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</si>
  <si>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</si>
  <si>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</si>
  <si>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</si>
  <si>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</si>
  <si>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</si>
  <si>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</si>
  <si>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</si>
  <si>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</si>
  <si>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</si>
  <si>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</si>
  <si>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</si>
  <si>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</si>
  <si>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</si>
  <si>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</si>
  <si>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</si>
  <si>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</si>
  <si>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</si>
  <si>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</si>
  <si>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</si>
  <si>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</si>
  <si>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</si>
  <si>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</si>
  <si>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</si>
  <si>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</si>
  <si>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</si>
  <si>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</si>
  <si>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</si>
  <si>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</si>
  <si>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</si>
  <si>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</si>
  <si>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</si>
  <si>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</si>
  <si>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</si>
  <si>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</si>
  <si>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</si>
  <si>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</si>
  <si>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</si>
  <si>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</si>
  <si>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</si>
  <si>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</si>
  <si>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</si>
  <si>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</si>
  <si>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</si>
  <si>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</si>
  <si>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</si>
  <si>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</si>
  <si>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</si>
  <si>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</si>
  <si>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</si>
  <si>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</si>
  <si>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</si>
  <si>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</si>
  <si>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</si>
  <si>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</si>
  <si>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</si>
  <si>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</si>
  <si>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</si>
  <si>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</si>
  <si>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</si>
  <si>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</si>
  <si>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</si>
  <si>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</si>
  <si>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</si>
  <si>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</si>
  <si>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</si>
  <si>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</si>
  <si>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</si>
  <si>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</si>
  <si>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</si>
  <si>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</si>
  <si>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</si>
  <si>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</si>
  <si>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</si>
  <si>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</si>
  <si>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</si>
  <si>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</si>
  <si>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</si>
  <si>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</si>
  <si>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</si>
  <si>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</si>
  <si>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</si>
  <si>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</si>
  <si>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</si>
  <si>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</si>
  <si>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</si>
  <si>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</si>
  <si>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</si>
  <si>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</si>
  <si>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</si>
  <si>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</si>
  <si>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</si>
  <si>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</si>
  <si>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</si>
  <si>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</si>
  <si>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</si>
  <si>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</si>
  <si>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</si>
  <si>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</si>
  <si>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</si>
  <si>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</si>
  <si>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</si>
  <si>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</si>
  <si>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</si>
  <si>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</si>
  <si>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</si>
  <si>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</si>
  <si>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</si>
  <si>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</si>
  <si>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</si>
  <si>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</si>
  <si>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</si>
  <si>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</si>
  <si>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</si>
  <si>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</si>
  <si>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</si>
  <si>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</si>
  <si>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</si>
  <si>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</si>
  <si>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</si>
  <si>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</si>
  <si>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</si>
  <si>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</si>
  <si>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</si>
  <si>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</si>
  <si>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</si>
  <si>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</si>
  <si>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</si>
  <si>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</si>
  <si>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</si>
  <si>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</si>
  <si>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</si>
  <si>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</si>
  <si>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</si>
  <si>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</si>
  <si>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</si>
  <si>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</si>
  <si>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</si>
  <si>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</si>
  <si>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</si>
  <si>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</si>
  <si>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</si>
  <si>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</si>
  <si>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</si>
  <si>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</si>
  <si>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</si>
  <si>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</si>
  <si>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</si>
  <si>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http://www.gpo.gov/fdsys/pkg/CFR-2014-title40-vol21/pdf/CFR-2014-title40-vol21-part98-subpartC-appC.pdf</t>
  </si>
  <si>
    <t>http://www.gpo.gov/fdsys/pkg/CFR-2014-title40-vol21/pdf/CFR-2014-title40-vol21-part98-subpartC-appC-id656.pdf</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</si>
  <si>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</si>
  <si>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</si>
  <si>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</si>
  <si>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</si>
  <si>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</si>
  <si>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</si>
  <si>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</si>
  <si>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</si>
  <si>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</si>
  <si>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</si>
  <si>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</si>
  <si>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</si>
  <si>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</si>
  <si>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</si>
  <si>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</si>
  <si>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</si>
  <si>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</si>
  <si>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</si>
  <si>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</si>
  <si>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</si>
  <si>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</si>
  <si>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</si>
  <si>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</si>
  <si>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</si>
  <si>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</si>
  <si>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</si>
  <si>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</si>
  <si>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</si>
  <si>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</si>
  <si>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</si>
  <si>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</si>
  <si>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</si>
  <si>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</si>
  <si>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</si>
  <si>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</si>
  <si>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</si>
  <si>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</si>
  <si>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</si>
  <si>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</si>
  <si>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</si>
  <si>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</si>
  <si>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</si>
  <si>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</si>
  <si>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</si>
  <si>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</si>
  <si>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</si>
  <si>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Calpine Fore River Energy Center, LLC</t>
  </si>
  <si>
    <t>First Wind O&amp;M,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</si>
  <si>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</si>
  <si>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</si>
  <si>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</si>
  <si>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</si>
  <si>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</si>
  <si>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</si>
  <si>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</si>
  <si>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</si>
  <si>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</si>
  <si>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</si>
  <si>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</si>
  <si>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</si>
  <si>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</si>
  <si>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</si>
  <si>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</si>
  <si>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</si>
  <si>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</si>
  <si>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</si>
  <si>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</si>
  <si>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</si>
  <si>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</si>
  <si>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Dominion Renewable Energy</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</si>
  <si>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</si>
  <si>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</si>
  <si>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</si>
  <si>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</si>
  <si>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</si>
  <si>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</si>
  <si>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</si>
  <si>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</si>
  <si>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</si>
  <si>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</si>
  <si>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</si>
  <si>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</si>
  <si>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</si>
  <si>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</si>
  <si>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</si>
  <si>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</si>
  <si>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</si>
  <si>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Hilton NY Co Gen Plant</t>
  </si>
  <si>
    <t>Sheldon Solar</t>
  </si>
  <si>
    <t>Sudbury Landfill</t>
  </si>
  <si>
    <t>Solar Sudbury One LF LLC</t>
  </si>
  <si>
    <t>Berkley East Solar LLC</t>
  </si>
  <si>
    <t>Stuyvesant Falls</t>
  </si>
  <si>
    <t>Albany Engineering Corporation</t>
  </si>
  <si>
    <t>Integrys MA Solar, LLC - Ashburnham Site</t>
  </si>
  <si>
    <t>Integrys MA Solar, LLC</t>
  </si>
  <si>
    <t>Open View Solar Farm</t>
  </si>
  <si>
    <t>Cross Pollination Inc</t>
  </si>
  <si>
    <t>Simonds</t>
  </si>
  <si>
    <t>Camelot Wind LLC</t>
  </si>
  <si>
    <t>Dept of Corrections NCCI Wind</t>
  </si>
  <si>
    <t>Pine Tree Landfill Gas to Energy</t>
  </si>
  <si>
    <t>Pine Tree Landfill</t>
  </si>
  <si>
    <t>Southbridge Landfill Gas-to-Energy</t>
  </si>
  <si>
    <t>Scituate PV</t>
  </si>
  <si>
    <t>Main Street Power</t>
  </si>
  <si>
    <t>Bolton PV</t>
  </si>
  <si>
    <t>Stow PV</t>
  </si>
  <si>
    <t>Kingston Wind Independence</t>
  </si>
  <si>
    <t>Ipswich Wind Independence</t>
  </si>
  <si>
    <t>Agawam Solar</t>
  </si>
  <si>
    <t>Citizens Enterprises Corporation</t>
  </si>
  <si>
    <t>Rehoboth Solar</t>
  </si>
  <si>
    <t>Chicopee Solar</t>
  </si>
  <si>
    <t>Route 57 Solar</t>
  </si>
  <si>
    <t>EBZ Solar</t>
  </si>
  <si>
    <t>Whately Solar</t>
  </si>
  <si>
    <t>West Davisville Solar</t>
  </si>
  <si>
    <t>WR-TGC Solar Generation IV LLC</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</si>
  <si>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</si>
  <si>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</si>
  <si>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</si>
  <si>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</si>
  <si>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</si>
  <si>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</si>
  <si>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</si>
  <si>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</si>
  <si>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</si>
  <si>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</si>
  <si>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</si>
  <si>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</si>
  <si>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</si>
  <si>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</si>
  <si>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</si>
  <si>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</si>
  <si>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</si>
  <si>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</si>
  <si>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</si>
  <si>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</si>
  <si>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</si>
  <si>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Rainbow Falls Hydro</t>
  </si>
  <si>
    <t>Clement Dam Hydro LLC</t>
  </si>
  <si>
    <t>ReEnergy Ashland</t>
  </si>
  <si>
    <t>ReEnergy Ashland LLC</t>
  </si>
  <si>
    <t>Mt Ida Hydroelectric</t>
  </si>
  <si>
    <t>Ampersand Mount Ida Hydro LLC</t>
  </si>
  <si>
    <t>Bucksport Generation LLC</t>
  </si>
  <si>
    <t>Lower Village Water Power Project</t>
  </si>
  <si>
    <t>OG</t>
  </si>
  <si>
    <t>Binghamton Cogen</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</si>
  <si>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</si>
  <si>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</si>
  <si>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</si>
  <si>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</si>
  <si>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</si>
  <si>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</si>
  <si>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</si>
  <si>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</si>
  <si>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</si>
  <si>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</si>
  <si>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</si>
  <si>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</si>
  <si>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</si>
  <si>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</si>
  <si>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</si>
  <si>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</si>
  <si>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</si>
  <si>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</si>
  <si>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</si>
  <si>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</si>
  <si>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</si>
  <si>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</si>
  <si>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</si>
  <si>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Enel Green Power NA, Inc.</t>
  </si>
  <si>
    <t>Walpole Solar 2</t>
  </si>
  <si>
    <t>Walpole Solar 2, LLC</t>
  </si>
  <si>
    <t>Gardner Solar 1</t>
  </si>
  <si>
    <t>Gardner Solar 1, LLC</t>
  </si>
  <si>
    <t>Technology Drive Solar</t>
  </si>
  <si>
    <t>WE 90 Technology Drive LLC</t>
  </si>
  <si>
    <t>Fairview Farms Solar</t>
  </si>
  <si>
    <t>Fairview Farms Solar LLC</t>
  </si>
  <si>
    <t>651 Chase Solar NG</t>
  </si>
  <si>
    <t>651 Chase Solar NG LLC</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</si>
  <si>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</si>
  <si>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</si>
  <si>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</si>
  <si>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</si>
  <si>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</si>
  <si>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</si>
  <si>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</si>
  <si>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</si>
  <si>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</si>
  <si>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</si>
  <si>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</si>
  <si>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</si>
  <si>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</si>
  <si>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</si>
  <si>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</si>
  <si>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</si>
  <si>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</si>
  <si>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</si>
  <si>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</si>
  <si>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</si>
  <si>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</si>
  <si>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</si>
  <si>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</si>
  <si>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</si>
  <si>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</si>
  <si>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</si>
  <si>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</si>
  <si>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</si>
  <si>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</si>
  <si>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</si>
  <si>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</si>
  <si>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</si>
  <si>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</si>
  <si>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</si>
  <si>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</si>
  <si>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</si>
  <si>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</si>
  <si>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</si>
  <si>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</si>
  <si>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</si>
  <si>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</si>
  <si>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</si>
  <si>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</si>
  <si>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</si>
  <si>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</si>
  <si>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</si>
  <si>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GRE 314 East Lyme LLC</t>
  </si>
  <si>
    <t>Acton Solar Landfill</t>
  </si>
  <si>
    <t>Heliovaas LLC</t>
  </si>
  <si>
    <t>Tisbury Landfill Solar</t>
  </si>
  <si>
    <t>Town of Williamson Landfill PV</t>
  </si>
  <si>
    <t>SSA Solar of NY LLC</t>
  </si>
  <si>
    <t>Clarkson Solar</t>
  </si>
  <si>
    <t>Clarkson Solar LLC</t>
  </si>
  <si>
    <t>Lightolier Wind I Turbine</t>
  </si>
  <si>
    <t>Philips Lightolier</t>
  </si>
  <si>
    <t>Main Street Solar Project</t>
  </si>
  <si>
    <t>NextSun Energy, LLC</t>
  </si>
  <si>
    <t>NBC Field's Point Wind Farm</t>
  </si>
  <si>
    <t>Narragansett Bay Commission</t>
  </si>
  <si>
    <t>Charlotte Solar LLC VT</t>
  </si>
  <si>
    <t>Charlotte Solar LLC</t>
  </si>
  <si>
    <t>Templeton</t>
  </si>
  <si>
    <t>Sunny Templeton, LLC</t>
  </si>
  <si>
    <t>Barton Solar Farm</t>
  </si>
  <si>
    <t>Barton Solar, LLC</t>
  </si>
  <si>
    <t>Bourne (MA) - Holliston I</t>
  </si>
  <si>
    <t>NVT LICENSES, LLC</t>
  </si>
  <si>
    <t>Chester Power Partners</t>
  </si>
  <si>
    <t>Chester Power Partners LLC</t>
  </si>
  <si>
    <t>Stetson Road Solar - Barre I</t>
  </si>
  <si>
    <t>Barre II Solar Project</t>
  </si>
  <si>
    <t>Chester Solar Farm</t>
  </si>
  <si>
    <t>Concord Solar Farm</t>
  </si>
  <si>
    <t>Adams Farm Solar</t>
  </si>
  <si>
    <t>Adams Farm Solar LLC</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</si>
  <si>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</si>
  <si>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</si>
  <si>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</si>
  <si>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</si>
  <si>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</si>
  <si>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</si>
  <si>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</si>
  <si>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</si>
  <si>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</si>
  <si>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</si>
  <si>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</si>
  <si>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</si>
  <si>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Hunt Farm Solar LLC</t>
  </si>
  <si>
    <t>205 Sturbridge A</t>
  </si>
  <si>
    <t>SH Solarne2 LLC</t>
  </si>
  <si>
    <t>201 Sturbridge B</t>
  </si>
  <si>
    <t>SE Solarne2 LLC</t>
  </si>
  <si>
    <t>Palmer Solar LLC</t>
  </si>
  <si>
    <t>Lowell Solar Landfill</t>
  </si>
  <si>
    <t>Lowell Solar Landfill LLC</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</si>
  <si>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</si>
  <si>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</si>
  <si>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</si>
  <si>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</si>
  <si>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</si>
  <si>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</si>
  <si>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</si>
  <si>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</si>
  <si>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</si>
  <si>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</si>
  <si>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</si>
  <si>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</si>
  <si>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</si>
  <si>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</si>
  <si>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</si>
  <si>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</si>
  <si>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</si>
  <si>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</si>
  <si>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</si>
  <si>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Net Generation
(Megawatthours)</t>
  </si>
  <si>
    <t>Merlin One LLC</t>
  </si>
  <si>
    <t>Essential Power Massachusetts LLC</t>
  </si>
  <si>
    <t>Harris Lake</t>
  </si>
  <si>
    <t>Exelon Nuclear</t>
  </si>
  <si>
    <t>Auburn State Street</t>
  </si>
  <si>
    <t>PSEG-Provport Coal Storage</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</si>
  <si>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</si>
  <si>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</si>
  <si>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</si>
  <si>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</si>
  <si>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</si>
  <si>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</si>
  <si>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</si>
  <si>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</si>
  <si>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</si>
  <si>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</si>
  <si>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ReEnergy Lyonsdale Biomass</t>
  </si>
  <si>
    <t>Ampersand Long Falls Hydro, LLC</t>
  </si>
  <si>
    <t>Tanner Street Generation</t>
  </si>
  <si>
    <t>Bicent Power</t>
  </si>
  <si>
    <t>Dunn Paper</t>
  </si>
  <si>
    <t>EPP Renewable Energy</t>
  </si>
  <si>
    <t>Essential Power Newington LLC</t>
  </si>
  <si>
    <t>Oakfield Wind Project</t>
  </si>
  <si>
    <t>SVEP Solar Project Company</t>
  </si>
  <si>
    <t>Williamstown Solar</t>
  </si>
  <si>
    <t>Leicester One MA Solar LLC</t>
  </si>
  <si>
    <t>Freetown Solar</t>
  </si>
  <si>
    <t>Constellation Solar Holding, LLC</t>
  </si>
  <si>
    <t>Saddleback Ridge Wind Farm</t>
  </si>
  <si>
    <t>Saddleback Ridge Wind, LLC</t>
  </si>
  <si>
    <t>Port Richmond WWT Solar</t>
  </si>
  <si>
    <t>Braley Road 2</t>
  </si>
  <si>
    <t>Sustainable Power Group, LLC</t>
  </si>
  <si>
    <t>Sterlington Greenworks LLC</t>
  </si>
  <si>
    <t>Twiss Street Solar</t>
  </si>
  <si>
    <t>Chicopee River Solar</t>
  </si>
  <si>
    <t>Chicopee Granby Road Solar</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</si>
  <si>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</si>
  <si>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</si>
  <si>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</si>
  <si>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</si>
  <si>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</si>
  <si>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</si>
  <si>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</si>
  <si>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</si>
  <si>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</si>
  <si>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</si>
  <si>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</si>
  <si>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</si>
  <si>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</si>
  <si>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</si>
  <si>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Half Moon Ventures, LLC</t>
  </si>
  <si>
    <t>Pepperidge Farm Bloomfield</t>
  </si>
  <si>
    <t>Pepperidge Farm, Inc.- Bloomfield</t>
  </si>
  <si>
    <t>Clarkstown Landfill Solar Facility</t>
  </si>
  <si>
    <t>Oxford</t>
  </si>
  <si>
    <t>UGT Renewable Energy 13, LLC</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</si>
  <si>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</si>
  <si>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</si>
  <si>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</si>
  <si>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</si>
  <si>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</si>
  <si>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</si>
  <si>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</si>
  <si>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</si>
  <si>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</si>
  <si>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</si>
  <si>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</si>
  <si>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</si>
  <si>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</si>
  <si>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</si>
  <si>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</si>
  <si>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</si>
  <si>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Soltage LLC</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</si>
  <si>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</si>
  <si>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</si>
  <si>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</si>
  <si>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</si>
  <si>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</si>
  <si>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</si>
  <si>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</si>
  <si>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</si>
  <si>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</si>
  <si>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</si>
  <si>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</si>
  <si>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</si>
  <si>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</si>
  <si>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</si>
  <si>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</si>
  <si>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</si>
  <si>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Pittsfield Generating Company, LP</t>
  </si>
  <si>
    <t>Ampersand Chasm Hydro LLC</t>
  </si>
  <si>
    <t>Covanta Niagara I, LLC</t>
  </si>
  <si>
    <t>Black River Hydroelectric, LLC</t>
  </si>
  <si>
    <t>Central Power Plant</t>
  </si>
  <si>
    <t>State of Rhode Island</t>
  </si>
  <si>
    <t>Pinetree Power- Tamworth LLC.</t>
  </si>
  <si>
    <t>Riverbay</t>
  </si>
  <si>
    <t>Riverbay Corp</t>
  </si>
  <si>
    <t>Rensselaer Generating LLC</t>
  </si>
  <si>
    <t>Alice Falls Hydro, LLC</t>
  </si>
  <si>
    <t>Pinetree Power Fitchburg, LLC</t>
  </si>
  <si>
    <t>NYU Luthern Medical Center</t>
  </si>
  <si>
    <t>NYU Langone Health</t>
  </si>
  <si>
    <t>Empire Generating Co LLC</t>
  </si>
  <si>
    <t>Avangrid Renewables LLC</t>
  </si>
  <si>
    <t>Novatus Energy</t>
  </si>
  <si>
    <t>Bingham Wind</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</si>
  <si>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</si>
  <si>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</si>
  <si>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</si>
  <si>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</si>
  <si>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</si>
  <si>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</si>
  <si>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</si>
  <si>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</si>
  <si>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</si>
  <si>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</si>
  <si>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</si>
  <si>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Blue Heron Hydro LLC</t>
  </si>
  <si>
    <t>Jericho Power</t>
  </si>
  <si>
    <t>Jericho Power LLC</t>
  </si>
  <si>
    <t>Marina Energy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</si>
  <si>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</si>
  <si>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</si>
  <si>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</si>
  <si>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</si>
  <si>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</si>
  <si>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</si>
  <si>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</si>
  <si>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</si>
  <si>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</si>
  <si>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</si>
  <si>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</si>
  <si>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</si>
  <si>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</si>
  <si>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</si>
  <si>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</si>
  <si>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</si>
  <si>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</si>
  <si>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</si>
  <si>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</si>
  <si>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</si>
  <si>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</si>
  <si>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</si>
  <si>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</si>
  <si>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</si>
  <si>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</si>
  <si>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</si>
  <si>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</si>
  <si>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</si>
  <si>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</si>
  <si>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</si>
  <si>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</si>
  <si>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</si>
  <si>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</si>
  <si>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</si>
  <si>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</si>
  <si>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</si>
  <si>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</si>
  <si>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</si>
  <si>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</si>
  <si>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</si>
  <si>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</si>
  <si>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</si>
  <si>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</si>
  <si>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</si>
  <si>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</si>
  <si>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</si>
  <si>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</si>
  <si>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</si>
  <si>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</si>
  <si>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</si>
  <si>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</si>
  <si>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</si>
  <si>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</si>
  <si>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</si>
  <si>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</si>
  <si>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</si>
  <si>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</si>
  <si>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</si>
  <si>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</si>
  <si>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</si>
  <si>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</si>
  <si>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</si>
  <si>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</si>
  <si>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</si>
  <si>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</si>
  <si>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</si>
  <si>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Limerick Road Solar Farm</t>
  </si>
  <si>
    <t>Limerick Road Solar, LLC</t>
  </si>
  <si>
    <t>158th Fighter Wing Solar Farm</t>
  </si>
  <si>
    <t>158th Fighter Wing</t>
  </si>
  <si>
    <t>GMP Solar - Richmond</t>
  </si>
  <si>
    <t>UI RCP Woodbridge FC</t>
  </si>
  <si>
    <t>CMEEC - Rogers Rd Solar</t>
  </si>
  <si>
    <t>Morin Solar 2013 LLC</t>
  </si>
  <si>
    <t>Brookfield Solar 2013 LLC</t>
  </si>
  <si>
    <t>WYM 1250 Palmer LLC</t>
  </si>
  <si>
    <t>Southern Sky Renew Energy Berkley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</si>
  <si>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</si>
  <si>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</si>
  <si>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</si>
  <si>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</si>
  <si>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</si>
  <si>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</si>
  <si>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</si>
  <si>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</si>
  <si>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</si>
  <si>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</si>
  <si>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</si>
  <si>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</si>
  <si>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</si>
  <si>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</si>
  <si>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</si>
  <si>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</si>
  <si>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</si>
  <si>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</si>
  <si>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</si>
  <si>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</si>
  <si>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</si>
  <si>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</si>
  <si>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</si>
  <si>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</si>
  <si>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</si>
  <si>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LLC</t>
  </si>
  <si>
    <t>Hartford Landfill Solar EGF</t>
  </si>
  <si>
    <t>Materials Innovation Recycling Authority</t>
  </si>
  <si>
    <t>Cold River Road Solar</t>
  </si>
  <si>
    <t>AEP Onsite Partners</t>
  </si>
  <si>
    <t>Chocksett Rd Energy Storage Project</t>
  </si>
  <si>
    <t>Sterling Municipal Light Department</t>
  </si>
  <si>
    <t>Onyx Asset Services Group</t>
  </si>
  <si>
    <t>AIS Solar Project</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</si>
  <si>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</si>
  <si>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</si>
  <si>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</si>
  <si>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</si>
  <si>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</si>
  <si>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</si>
  <si>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</si>
  <si>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</si>
  <si>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</si>
  <si>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</si>
  <si>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</si>
  <si>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</si>
  <si>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</si>
  <si>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</si>
  <si>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</si>
  <si>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</si>
  <si>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</si>
  <si>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</si>
  <si>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</si>
  <si>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</si>
  <si>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</si>
  <si>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</si>
  <si>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</si>
  <si>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</si>
  <si>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</si>
  <si>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</si>
  <si>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</si>
  <si>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Barrett PV</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</si>
  <si>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</si>
  <si>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</si>
  <si>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</si>
  <si>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</si>
  <si>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</si>
  <si>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</si>
  <si>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</si>
  <si>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</si>
  <si>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</si>
  <si>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</si>
  <si>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</si>
  <si>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</si>
  <si>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</si>
  <si>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</si>
  <si>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</si>
  <si>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</si>
  <si>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Although EIA says Potter 2, Units 4 and 5 appear to be included based on MMBtu value.</t>
  </si>
  <si>
    <t>only 1 unit reports CO2</t>
  </si>
  <si>
    <t>behind the meter</t>
  </si>
  <si>
    <t>steam and MWh; industrial</t>
  </si>
  <si>
    <t>steam and MWh; plant burns both biomass and fossil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</si>
  <si>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</si>
  <si>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</si>
  <si>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</si>
  <si>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</si>
  <si>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</si>
  <si>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</si>
  <si>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</si>
  <si>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</si>
  <si>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</si>
  <si>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</si>
  <si>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</si>
  <si>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</si>
  <si>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</si>
  <si>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</si>
  <si>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</si>
  <si>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</si>
  <si>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</si>
  <si>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</si>
  <si>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</si>
  <si>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</si>
  <si>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</si>
  <si>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</si>
  <si>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</si>
  <si>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</si>
  <si>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</si>
  <si>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</si>
  <si>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</si>
  <si>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</si>
  <si>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</si>
  <si>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</si>
  <si>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</si>
  <si>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</si>
  <si>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</si>
  <si>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</si>
  <si>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</si>
  <si>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</si>
  <si>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</si>
  <si>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</si>
  <si>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</si>
  <si>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</si>
  <si>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</si>
  <si>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</si>
  <si>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</si>
  <si>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</si>
  <si>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</si>
  <si>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</si>
  <si>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</si>
  <si>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ENGIE</t>
  </si>
  <si>
    <t>City of Binghamton</t>
  </si>
  <si>
    <t>Engie North America</t>
  </si>
  <si>
    <t>Kibby Wind Facility</t>
  </si>
  <si>
    <t>Helix Maine Wind Development, LLC</t>
  </si>
  <si>
    <t>Canton Mountain Wind</t>
  </si>
  <si>
    <t>Canton Mountain Wind LLC</t>
  </si>
  <si>
    <t>Powergen Development Group, LLC</t>
  </si>
  <si>
    <t>Simonds Saw LLC</t>
  </si>
  <si>
    <t>WED Coventry 5</t>
  </si>
  <si>
    <t>WED Coventry Five, LLC</t>
  </si>
  <si>
    <t>Hadley Solar NG, LLC</t>
  </si>
  <si>
    <t>Fairhaven C CSG</t>
  </si>
  <si>
    <t>West Bridgewater AB CSG</t>
  </si>
  <si>
    <t>Onondaga County- Clearwater</t>
  </si>
  <si>
    <t>Broome County</t>
  </si>
  <si>
    <t>CMEEC - Navy NE Trident</t>
  </si>
  <si>
    <t>Worcester Landfill</t>
  </si>
  <si>
    <t>City of Worcester DPW</t>
  </si>
  <si>
    <t>NRG Solar Mule, LLC</t>
  </si>
  <si>
    <t>TRS Fuel Cell</t>
  </si>
  <si>
    <t>TRS Fuel Cell, LLC</t>
  </si>
  <si>
    <t>Shirley Landfill</t>
  </si>
  <si>
    <t>DDR Shoppers World</t>
  </si>
  <si>
    <t>Cedarville CSG</t>
  </si>
  <si>
    <t>Deerfield CSG Solar</t>
  </si>
  <si>
    <t>LSDP 11, LLC</t>
  </si>
  <si>
    <t>Iron Horse Solar 4, LLC</t>
  </si>
  <si>
    <t>Town of Lexington Solar</t>
  </si>
  <si>
    <t>Syncarpha Lexington, LLC</t>
  </si>
  <si>
    <t>Jefferson-Lewis BOCES Solar</t>
  </si>
  <si>
    <t>Cypress Creek Renewables</t>
  </si>
  <si>
    <t>Orbit Energy RI</t>
  </si>
  <si>
    <t>Entropy Investment Management, LLC</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</si>
  <si>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</si>
  <si>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</si>
  <si>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</si>
  <si>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</si>
  <si>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</si>
  <si>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</si>
  <si>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</si>
  <si>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</si>
  <si>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</si>
  <si>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</si>
  <si>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</si>
  <si>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</si>
  <si>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</si>
  <si>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</si>
  <si>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</si>
  <si>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</si>
  <si>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</si>
  <si>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</si>
  <si>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</si>
  <si>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</si>
  <si>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</si>
  <si>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</si>
  <si>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</si>
  <si>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</si>
  <si>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</si>
  <si>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</si>
  <si>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</si>
  <si>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</si>
  <si>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</si>
  <si>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</si>
  <si>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</si>
  <si>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</si>
  <si>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</si>
  <si>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</si>
  <si>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</si>
  <si>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</si>
  <si>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</si>
  <si>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</si>
  <si>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</si>
  <si>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</si>
  <si>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</si>
  <si>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</si>
  <si>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</si>
  <si>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</si>
  <si>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</si>
  <si>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</si>
  <si>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</si>
  <si>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</si>
  <si>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</si>
  <si>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</si>
  <si>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</si>
  <si>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</si>
  <si>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</si>
  <si>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</si>
  <si>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</si>
  <si>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</si>
  <si>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</si>
  <si>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</si>
  <si>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</si>
  <si>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</si>
  <si>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</si>
  <si>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</si>
  <si>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</si>
  <si>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</si>
  <si>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</si>
  <si>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</si>
  <si>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301 Chestnut Solar NG, LLC</t>
  </si>
  <si>
    <t>Weston Landfill Solar</t>
  </si>
  <si>
    <t>Ameresco, Inc - Weston</t>
  </si>
  <si>
    <t>Braintree Landfill Solar</t>
  </si>
  <si>
    <t>Ameresco, Inc - Braintree</t>
  </si>
  <si>
    <t>GELD Solar Farm</t>
  </si>
  <si>
    <t>Ameresco, Inc - GELD</t>
  </si>
  <si>
    <t>NRG DG Haverhill LLC</t>
  </si>
  <si>
    <t>Good Samaritan Hospital</t>
  </si>
  <si>
    <t>NRG DG Crystal Spring LLC</t>
  </si>
  <si>
    <t>Falmouth Landfill Solar</t>
  </si>
  <si>
    <t>Woodhull Hospital</t>
  </si>
  <si>
    <t>NRG DG Foxborough Elm LLC</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</si>
  <si>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</si>
  <si>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</si>
  <si>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</si>
  <si>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</si>
  <si>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</si>
  <si>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</si>
  <si>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</si>
  <si>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</si>
  <si>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</si>
  <si>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</si>
  <si>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</si>
  <si>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</si>
  <si>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</si>
  <si>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</si>
  <si>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NRG DG Tufts Science LLC</t>
  </si>
  <si>
    <t>NRG DG Dighton LLC</t>
  </si>
  <si>
    <t>NRG DG Tufts Knoll LLC</t>
  </si>
  <si>
    <t>NRG DG Webster LLC</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</si>
  <si>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</si>
  <si>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</si>
  <si>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</si>
  <si>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</si>
  <si>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</si>
  <si>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</si>
  <si>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</si>
  <si>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</si>
  <si>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</si>
  <si>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</si>
  <si>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</si>
  <si>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</si>
  <si>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</si>
  <si>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</si>
  <si>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</si>
  <si>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</si>
  <si>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</si>
  <si>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</si>
  <si>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</si>
  <si>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</si>
  <si>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</si>
  <si>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</si>
  <si>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</si>
  <si>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</si>
  <si>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</si>
  <si>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</si>
  <si>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</si>
  <si>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</si>
  <si>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</si>
  <si>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</si>
  <si>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</si>
  <si>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</si>
  <si>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</si>
  <si>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</si>
  <si>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</si>
  <si>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</si>
  <si>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https://www.eia.gov/electricity/data/eia923/</t>
  </si>
  <si>
    <t>Biogas</t>
  </si>
  <si>
    <t>Bogas</t>
  </si>
  <si>
    <t>biogas and digester gas</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</si>
  <si>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</si>
  <si>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</si>
  <si>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</si>
  <si>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</si>
  <si>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</si>
  <si>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</si>
  <si>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</si>
  <si>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</si>
  <si>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</si>
  <si>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</si>
  <si>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</si>
  <si>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</si>
  <si>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</si>
  <si>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</si>
  <si>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</si>
  <si>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Quebec Fuels Adding to Total CO2e</t>
  </si>
  <si>
    <t>N/A</t>
  </si>
  <si>
    <t>CT06</t>
  </si>
  <si>
    <t>CT07</t>
  </si>
  <si>
    <t>CPV Towantic Energy Center</t>
  </si>
  <si>
    <t>Salem Harbor Station NGCC</t>
  </si>
  <si>
    <t>Empire Generating Co, LLC</t>
  </si>
  <si>
    <t>Valley Energy Center</t>
  </si>
  <si>
    <t>Manchester Street Station</t>
  </si>
  <si>
    <t>GenOn Canal, LLC</t>
  </si>
  <si>
    <t>NRG Canal 3 Development LLC</t>
  </si>
  <si>
    <t>Central Rivers Power MA, LLC</t>
  </si>
  <si>
    <t>Central Rivers Power NH, LLC</t>
  </si>
  <si>
    <t>Granite Shore Power</t>
  </si>
  <si>
    <t>GenOn New York, LLC</t>
  </si>
  <si>
    <t>Stevens Mills Dam</t>
  </si>
  <si>
    <t>City of Nashua, NH</t>
  </si>
  <si>
    <t>Stored Solar J&amp;WE</t>
  </si>
  <si>
    <t>Hollingworth &amp; Vose Co Center Falls</t>
  </si>
  <si>
    <t>Maine Waste to Energy</t>
  </si>
  <si>
    <t>New York Methodist Hospital</t>
  </si>
  <si>
    <t>General Mills Inc</t>
  </si>
  <si>
    <t>Milford Power LLC</t>
  </si>
  <si>
    <t>RISEC Operating Services</t>
  </si>
  <si>
    <t>CPV Towantic, LLC</t>
  </si>
  <si>
    <t>CPV Valley Energy Center</t>
  </si>
  <si>
    <t>CPV Valley, LLC</t>
  </si>
  <si>
    <t>Convergent Energy and Power LP</t>
  </si>
  <si>
    <t>CleanCapital</t>
  </si>
  <si>
    <t>Greenbacker Renewable Energy Corporation</t>
  </si>
  <si>
    <t>Town of East Bridgewater CSG</t>
  </si>
  <si>
    <t>Fusion Solar Center LLC</t>
  </si>
  <si>
    <t>Fusion Solar Centre, L.L.C</t>
  </si>
  <si>
    <t>Copenhagen Wind Farm</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</si>
  <si>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</si>
  <si>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</si>
  <si>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</si>
  <si>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</si>
  <si>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</si>
  <si>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</si>
  <si>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</si>
  <si>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</si>
  <si>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</si>
  <si>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</si>
  <si>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</si>
  <si>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</si>
  <si>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</si>
  <si>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</si>
  <si>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</si>
  <si>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</si>
  <si>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</si>
  <si>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</si>
  <si>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</si>
  <si>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</si>
  <si>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GSRP</t>
  </si>
  <si>
    <t>Curtis Hill Solar CSG</t>
  </si>
  <si>
    <t>CCC Solar Holdings LLC</t>
  </si>
  <si>
    <t>Depot Hill Solar CSG</t>
  </si>
  <si>
    <t>Stafford MS Ground Mount Community Solar</t>
  </si>
  <si>
    <t>Footprint Salem Harbor Development LP</t>
  </si>
  <si>
    <t>Onyx - Lamphear Road CSG</t>
  </si>
  <si>
    <t>Onset East Community Solar Facility</t>
  </si>
  <si>
    <t>Onset West Community Solar Facility</t>
  </si>
  <si>
    <t>Big George PV CSG</t>
  </si>
  <si>
    <t>North Smithfield Solar Power 1</t>
  </si>
  <si>
    <t>Lichtenthal</t>
  </si>
  <si>
    <t>Call Farms 1</t>
  </si>
  <si>
    <t>Call Farms 3</t>
  </si>
  <si>
    <t>Antanavica Solar</t>
  </si>
  <si>
    <t>Town of Rocky Hill PV CSG</t>
  </si>
  <si>
    <t>The Allen Hospital</t>
  </si>
  <si>
    <t>Mount Sinai Beth Israel</t>
  </si>
  <si>
    <t>Anheuser-Busch Baldwinsville</t>
  </si>
  <si>
    <t>Columbia University - Johnson Farms</t>
  </si>
  <si>
    <t>Time Warner Cable Enterprises - Martino</t>
  </si>
  <si>
    <t>Columbia University - Minisink</t>
  </si>
  <si>
    <t>St. Lawerence University - Sutton</t>
  </si>
  <si>
    <t>West Brookfield Solar - Gilbertsville Rd CSG</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</si>
  <si>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</si>
  <si>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</si>
  <si>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</si>
  <si>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</si>
  <si>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</si>
  <si>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</si>
  <si>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</si>
  <si>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</si>
  <si>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</si>
  <si>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</si>
  <si>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</si>
  <si>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</si>
  <si>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</si>
  <si>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</si>
  <si>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</si>
  <si>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</si>
  <si>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</si>
  <si>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</si>
  <si>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</si>
  <si>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</si>
  <si>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</si>
  <si>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</si>
  <si>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</si>
  <si>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</si>
  <si>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</si>
  <si>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Agilitas Energy, LLC</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</si>
  <si>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</si>
  <si>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</si>
  <si>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</si>
  <si>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</si>
  <si>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</si>
  <si>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</si>
  <si>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</si>
  <si>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</si>
  <si>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</si>
  <si>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</si>
  <si>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</si>
  <si>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</si>
  <si>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</si>
  <si>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</si>
  <si>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</si>
  <si>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</si>
  <si>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</si>
  <si>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</si>
  <si>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</si>
  <si>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</si>
  <si>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</si>
  <si>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</si>
  <si>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</si>
  <si>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</si>
  <si>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</si>
  <si>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</si>
  <si>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</si>
  <si>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</si>
  <si>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</si>
  <si>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</si>
  <si>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</si>
  <si>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</si>
  <si>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</si>
  <si>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</si>
  <si>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</si>
  <si>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</si>
  <si>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</si>
  <si>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</si>
  <si>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</si>
  <si>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</si>
  <si>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</si>
  <si>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</si>
  <si>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</si>
  <si>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</si>
  <si>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</si>
  <si>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</si>
  <si>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</si>
  <si>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</si>
  <si>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</si>
  <si>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</si>
  <si>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</si>
  <si>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</si>
  <si>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</si>
  <si>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</si>
  <si>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</si>
  <si>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</si>
  <si>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</si>
  <si>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</si>
  <si>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</si>
  <si>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</si>
  <si>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</si>
  <si>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</si>
  <si>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</si>
  <si>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</si>
  <si>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</si>
  <si>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</si>
  <si>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</si>
  <si>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</si>
  <si>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</si>
  <si>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</si>
  <si>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</si>
  <si>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</si>
  <si>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</si>
  <si>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</si>
  <si>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</si>
  <si>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</si>
  <si>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</si>
  <si>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</si>
  <si>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</si>
  <si>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</si>
  <si>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</si>
  <si>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</si>
  <si>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 LLC</t>
  </si>
  <si>
    <t>Kearsarge GB</t>
  </si>
  <si>
    <t>Kearsarge GB LLC</t>
  </si>
  <si>
    <t>Kearsarge SKSC1 LLC</t>
  </si>
  <si>
    <t>Kearsarge Uxbridge</t>
  </si>
  <si>
    <t>Kearsarge Uxbridge LLC</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</si>
  <si>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</si>
  <si>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</si>
  <si>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</si>
  <si>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</si>
  <si>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</si>
  <si>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</si>
  <si>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</si>
  <si>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</si>
  <si>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</si>
  <si>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</si>
  <si>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</si>
  <si>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</si>
  <si>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</si>
  <si>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</si>
  <si>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</si>
  <si>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</si>
  <si>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</si>
  <si>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SunRaise Investments, LLC</t>
  </si>
  <si>
    <t>Ulster County Solar</t>
  </si>
  <si>
    <t>Ulster Solar LLC</t>
  </si>
  <si>
    <t>Franklin Solar Site</t>
  </si>
  <si>
    <t>Helios NY I, LLC</t>
  </si>
  <si>
    <t>Malone Solar Site</t>
  </si>
  <si>
    <t>RIT Henrietta Solar 1, LLC</t>
  </si>
  <si>
    <t>other biomass liquids</t>
  </si>
  <si>
    <t>https://www.nyiso.com/documents/20142/2226333/2019-Gold-Book-Final-Public.pdf/</t>
  </si>
  <si>
    <t>NOVA SCOTIA</t>
  </si>
  <si>
    <t>Canadian Maritime Provinces</t>
  </si>
  <si>
    <t>CMP</t>
  </si>
  <si>
    <t>landfill gas (from GIS certificates)</t>
  </si>
  <si>
    <t>Canadian Maritime Provinces (through New Brunswick) Fuels Adding to Total CO2e</t>
  </si>
  <si>
    <t>Canadian Maritime Provinces (through New Brunswick) - Total CO2e</t>
  </si>
  <si>
    <t>exclude mmBtu from CO2 calculations, because Part 75 CO2 used instead</t>
  </si>
  <si>
    <t>x</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</si>
  <si>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</si>
  <si>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</si>
  <si>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</si>
  <si>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</si>
  <si>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</si>
  <si>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</si>
  <si>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</si>
  <si>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</si>
  <si>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</si>
  <si>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</si>
  <si>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</si>
  <si>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</si>
  <si>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</si>
  <si>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</si>
  <si>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</si>
  <si>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</si>
  <si>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</si>
  <si>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</si>
  <si>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</si>
  <si>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</si>
  <si>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</si>
  <si>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</si>
  <si>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</si>
  <si>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</si>
  <si>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</si>
  <si>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</si>
  <si>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</si>
  <si>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</si>
  <si>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</si>
  <si>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</si>
  <si>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</si>
  <si>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</si>
  <si>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</si>
  <si>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</si>
  <si>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</si>
  <si>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</si>
  <si>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</si>
  <si>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</si>
  <si>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</si>
  <si>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</si>
  <si>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</si>
  <si>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</si>
  <si>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</si>
  <si>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</si>
  <si>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</si>
  <si>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</si>
  <si>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</si>
  <si>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</si>
  <si>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</si>
  <si>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</si>
  <si>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</si>
  <si>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</si>
  <si>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</si>
  <si>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</si>
  <si>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</si>
  <si>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</si>
  <si>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</si>
  <si>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</si>
  <si>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</si>
  <si>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</si>
  <si>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</si>
  <si>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</si>
  <si>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</si>
  <si>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</si>
  <si>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</si>
  <si>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</si>
  <si>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Setlled &amp; Reserved GIS certificates removed</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</si>
  <si>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</si>
  <si>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</si>
  <si>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</si>
  <si>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</si>
  <si>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</si>
  <si>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</si>
  <si>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</si>
  <si>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</si>
  <si>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</si>
  <si>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and Province emissons associated with GIS</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</si>
  <si>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</si>
  <si>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</si>
  <si>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</si>
  <si>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</si>
  <si>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</si>
  <si>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</si>
  <si>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</si>
  <si>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</si>
  <si>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</si>
  <si>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See the 'EIA Form 923 data' tab for the determination of MSN (non-biogenic)/MSB (biogenic) split for Municipal Solid Waste &amp; Trash-to-Energy.</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</si>
  <si>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</si>
  <si>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</si>
  <si>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</si>
  <si>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</si>
  <si>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</si>
  <si>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EIA Form 923 and EPA Part 75</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</si>
  <si>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</si>
  <si>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</si>
  <si>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</si>
  <si>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</si>
  <si>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</si>
  <si>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</si>
  <si>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</si>
  <si>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</si>
  <si>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</si>
  <si>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</si>
  <si>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</si>
  <si>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</si>
  <si>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</si>
  <si>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</si>
  <si>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</si>
  <si>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</si>
  <si>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</si>
  <si>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</si>
  <si>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</si>
  <si>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</si>
  <si>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</si>
  <si>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</si>
  <si>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</si>
  <si>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</si>
  <si>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</si>
  <si>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</si>
  <si>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</si>
  <si>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</si>
  <si>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</si>
  <si>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</si>
  <si>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</si>
  <si>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</si>
  <si>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</si>
  <si>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</si>
  <si>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</si>
  <si>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</si>
  <si>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</si>
  <si>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</si>
  <si>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</si>
  <si>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</si>
  <si>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</si>
  <si>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</si>
  <si>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</si>
  <si>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</si>
  <si>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</si>
  <si>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</si>
  <si>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</si>
  <si>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</si>
  <si>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Each state's net generation from certificates is then added to its generation, with ISO-NON generation added to its load totals, to adjust for GIS certificate transfers on the 'Imprted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</si>
  <si>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</si>
  <si>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</si>
  <si>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</si>
  <si>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</si>
  <si>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</si>
  <si>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</si>
  <si>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</si>
  <si>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 xml:space="preserve">The fuel-specific MMBTU values in each row are aggragated on the 'GIS Heat Input' tab and converted to CO2e values on the 'GIS CO2e' tab. </t>
  </si>
  <si>
    <t>These CO2e values are summarized in Column D of the the Emissions Summary Table on the 'State &amp; Province Summary' tab.</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</si>
  <si>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</si>
  <si>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</si>
  <si>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</si>
  <si>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</si>
  <si>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</si>
  <si>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</si>
  <si>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Settled and reserved certificates associated with the production of steam or other non-electricity generation are excluded from the tables below, as much as possible.</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</si>
  <si>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</si>
  <si>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</si>
  <si>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</si>
  <si>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Generation including MA net GIS certificates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</si>
  <si>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</si>
  <si>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</si>
  <si>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</si>
  <si>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</si>
  <si>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</si>
  <si>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</si>
  <si>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</si>
  <si>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</si>
  <si>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</si>
  <si>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</si>
  <si>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</si>
  <si>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</si>
  <si>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</si>
  <si>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</si>
  <si>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</si>
  <si>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</si>
  <si>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</si>
  <si>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</si>
  <si>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</si>
  <si>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</si>
  <si>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</si>
  <si>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</si>
  <si>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</si>
  <si>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</si>
  <si>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</si>
  <si>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</si>
  <si>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</si>
  <si>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</si>
  <si>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</si>
  <si>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</si>
  <si>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</si>
  <si>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</si>
  <si>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</si>
  <si>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</si>
  <si>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</si>
  <si>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</si>
  <si>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</si>
  <si>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exclduing GIS certificates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</si>
  <si>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</si>
  <si>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</si>
  <si>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</si>
  <si>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</si>
  <si>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</si>
  <si>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</si>
  <si>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</si>
  <si>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</si>
  <si>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</si>
  <si>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</si>
  <si>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</si>
  <si>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Emissions are calculated for each state using emissions data from 'EPA Part 75' tabs, wherever possible, or MMBTU data from the 'EIA Form 923' combined with Global Warming Potentials (GWP) and fuel-specific emissions factors on the "GWPs &amp; Fuel EFs' tab.</t>
  </si>
  <si>
    <t>The tables on this tab consolidate the Heat Input data from GIS certificates from emitting fuel types on the 'GIS' tab, by fuel type.</t>
  </si>
  <si>
    <t>THIS TAB CONSISTS OF THREE KINDS OF TABLES: Heat Rate Table [A33:K53], MMBTU Tables [A63:M289], and GIS Tables [P65:AQ300].</t>
  </si>
  <si>
    <t>NON-ISO generation is often 'distibuted' or 'behind-the-meter' generation whose MWh are not accounted for in NE-ISO's annual load and generation reports, and therefore are not included in the 'Generation Load Imports' tab.</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</si>
  <si>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</si>
  <si>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</si>
  <si>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</si>
  <si>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</si>
  <si>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</si>
  <si>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</si>
  <si>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</si>
  <si>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</si>
  <si>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</si>
  <si>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</si>
  <si>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</si>
  <si>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</si>
  <si>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</si>
  <si>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</si>
  <si>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</si>
  <si>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</si>
  <si>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</si>
  <si>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</si>
  <si>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</si>
  <si>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</si>
  <si>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</si>
  <si>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WEIGHTED AVG HEAT RATE
(used in Heat Rate Table on 'GIS' tab)</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</si>
  <si>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</si>
  <si>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</si>
  <si>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</si>
  <si>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MWh associated with the Massachusetts municipal retail sellers' contracts for hydropower from Niagara Falls (NYPA), for which there currently are no unit specific certificates, are entered in Cell Q53 below and included in the summary table but not in the individual state tables below.</t>
  </si>
  <si>
    <t>This value is obtained from MA municipal retail seller's annual AQ31 GHG reports under 310 CMR 7.75.</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</si>
  <si>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</si>
  <si>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</si>
  <si>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</si>
  <si>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</si>
  <si>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</si>
  <si>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</si>
  <si>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</si>
  <si>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MWh Value is entered above [Cell Q52] and then added to MA GIS certificate Imports Summary [Cell V296] and NY GIS certificates Exported Summary data [Cell AK297] below.</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</si>
  <si>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</si>
  <si>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</si>
  <si>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</si>
  <si>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</si>
  <si>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</si>
  <si>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</si>
  <si>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</si>
  <si>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</si>
  <si>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t>New York-EIA Net Generation (MWh)</t>
  </si>
  <si>
    <t>from 923 tab filtered for only Electric Utilities, NAICS Cogen, and NAICS Non-Cogen</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</si>
  <si>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</si>
  <si>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</si>
  <si>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</si>
  <si>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</si>
  <si>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</si>
  <si>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</si>
  <si>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</si>
  <si>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t>The GIS data ('GIS' and 'GIS CO2e' tabs) include New Brunswick System Mix certificates as well as unit-specific certificates from New Brunswick, Prince Edward Island and Nova Scotia (the Canadian Mariime Provinces whose power comes to ISO-NE through New Brunswick).</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</si>
  <si>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</si>
  <si>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Emissions from ISO-NON meters are not included because emissions from NON sources are not generally included in Part 75 or EIA 923 data (and therefore are not included in state emissions calculated on 'Generation CO2e' tab.</t>
  </si>
  <si>
    <t>MA-Based and Regional Emission Rates</t>
  </si>
  <si>
    <t>MA- Based and Regional Emission Rates
[Columns T and CT]</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</si>
  <si>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</si>
  <si>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</si>
  <si>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t>AR4, 100-year</t>
  </si>
  <si>
    <t>AR5, 100-year</t>
  </si>
  <si>
    <t>AR4, 20-year</t>
  </si>
  <si>
    <t>AR5, 20-year</t>
  </si>
  <si>
    <t>12/3/20-ISO Gen-Nel-ISO-States (published: 9/4/20)</t>
  </si>
  <si>
    <t>https://www.iso-ne.com/search?query=energy%20peak%20by%20source</t>
  </si>
  <si>
    <t>https://www.iso-ne.com/search?query=2019%20generation%20and%20load%20by%20state</t>
  </si>
  <si>
    <t>BHB5</t>
  </si>
  <si>
    <t>Combined cycle (Started May 09, 2019)</t>
  </si>
  <si>
    <t>Combustion turbine (Started Apr 04, 2019)</t>
  </si>
  <si>
    <t>Exelon West Medway II</t>
  </si>
  <si>
    <t>J4</t>
  </si>
  <si>
    <t>Combustion turbine (Started Feb 08, 2019)</t>
  </si>
  <si>
    <t>J5</t>
  </si>
  <si>
    <t>Combustion turbine (Started Mar 02, 2019)</t>
  </si>
  <si>
    <t>MBTA South Boston Power Facility</t>
  </si>
  <si>
    <t>https://ampd.epa.gov/ampd/</t>
  </si>
  <si>
    <t>EIA-923 Monthly Generation and Fuel Consumption Time Series File, 2019 Final</t>
  </si>
  <si>
    <t>Release Date: 9/22/2020</t>
  </si>
  <si>
    <t>.</t>
  </si>
  <si>
    <t>megawatthours</t>
  </si>
  <si>
    <t>Versant Power</t>
  </si>
  <si>
    <t>William F Wyman Hybrid</t>
  </si>
  <si>
    <t>Kendall Green Energy, LLC</t>
  </si>
  <si>
    <t>Nantucket Hybrid</t>
  </si>
  <si>
    <t>Cleary Flood Hybrid</t>
  </si>
  <si>
    <t>Manchester Street, LLC.</t>
  </si>
  <si>
    <t>Block Island Utility District</t>
  </si>
  <si>
    <t>ND Paper, Inc.</t>
  </si>
  <si>
    <t>Woodland Pulp, LLC</t>
  </si>
  <si>
    <t>International Paper Woronoco Mill</t>
  </si>
  <si>
    <t>Community Eco Springfield LLC</t>
  </si>
  <si>
    <t>GR Catalyst Two LLC</t>
  </si>
  <si>
    <t>Dichotomy Collins Hydro LLC</t>
  </si>
  <si>
    <t>Rumford Power LLC</t>
  </si>
  <si>
    <t>RWE Renewables Americas LLC</t>
  </si>
  <si>
    <t>Terraform Arcadia</t>
  </si>
  <si>
    <t>Bridgeport Fuel Cell, LLC</t>
  </si>
  <si>
    <t>Charlton Solar I CSG</t>
  </si>
  <si>
    <t>Kings Park Solar I</t>
  </si>
  <si>
    <t>DG LF Solar, LLC</t>
  </si>
  <si>
    <t>Kings Park Solar II</t>
  </si>
  <si>
    <t>Exelon West Medway II LLC</t>
  </si>
  <si>
    <t>Antrim Wind</t>
  </si>
  <si>
    <t>Antrim Wind Energy LLC</t>
  </si>
  <si>
    <t>Stafford Hill Solar Hybrid</t>
  </si>
  <si>
    <t>GMP Solar - Panton Hybrid</t>
  </si>
  <si>
    <t>CMEEC - Polaris Park Solar Hybrid</t>
  </si>
  <si>
    <t>CMEEC - Norwich Stott St Solar Hybrid</t>
  </si>
  <si>
    <t>Renew Canal 1 CSG LLC</t>
  </si>
  <si>
    <t>Solar Mule, LLC</t>
  </si>
  <si>
    <t>Hampshire College Hybrid</t>
  </si>
  <si>
    <t>Mt. Tom Solar Project Hybrid</t>
  </si>
  <si>
    <t>DG Haverhill CSG</t>
  </si>
  <si>
    <t>DG Crystal Spring CSG</t>
  </si>
  <si>
    <t>DG Foxborough Elm CSG</t>
  </si>
  <si>
    <t>DG Tufts Science LLC CSG</t>
  </si>
  <si>
    <t>DG Dighton LLC CSG</t>
  </si>
  <si>
    <t>DG Tufts Knoll LLC CSG</t>
  </si>
  <si>
    <t>DG Webster LLC CSG</t>
  </si>
  <si>
    <t>MA Solar Storage 1 Hybrid</t>
  </si>
  <si>
    <t>Hope Farm Solar, LLC</t>
  </si>
  <si>
    <t>Riverhead Solar Farm</t>
  </si>
  <si>
    <t>Greenfield Solar PV</t>
  </si>
  <si>
    <t>Hinsdale Solar PV</t>
  </si>
  <si>
    <t>Savoy Solar PV</t>
  </si>
  <si>
    <t>Southampton Solar PV</t>
  </si>
  <si>
    <t>Springfield Solar PV</t>
  </si>
  <si>
    <t>Hampden Solar PV</t>
  </si>
  <si>
    <t>WED Plainfield II, LLC</t>
  </si>
  <si>
    <t>WED Plainfield III, LLC</t>
  </si>
  <si>
    <t>WED Plainfield, LLC</t>
  </si>
  <si>
    <t>WED GW Solar, LLC</t>
  </si>
  <si>
    <t>WED GW Solar, LLC CSG</t>
  </si>
  <si>
    <t>Palmer</t>
  </si>
  <si>
    <t>KCE NY 1</t>
  </si>
  <si>
    <t>KCE NY 1, LLC</t>
  </si>
  <si>
    <t>Hospital Rd Community Solar Farm CSG</t>
  </si>
  <si>
    <t>Pool Brook Rd Community Solar Farm</t>
  </si>
  <si>
    <t>Generate Capital</t>
  </si>
  <si>
    <t>Breesport Road Community Solar Farm</t>
  </si>
  <si>
    <t>NY Baldwin I, LLC</t>
  </si>
  <si>
    <t>Sacket Lake Rd #2 Community Solar Farm</t>
  </si>
  <si>
    <t>Turner Rd Community Solar Project</t>
  </si>
  <si>
    <t>Hadley 2 Solar, LLC CSG</t>
  </si>
  <si>
    <t>Griffin Road Solar, LLC CSG</t>
  </si>
  <si>
    <t>Ashby Solar, LLC CSG</t>
  </si>
  <si>
    <t>Dudley Solar CSG</t>
  </si>
  <si>
    <t>Williamsburg</t>
  </si>
  <si>
    <t>Ashburnham Energy Storage Project</t>
  </si>
  <si>
    <t>Westminster Renewables, LLC CSG</t>
  </si>
  <si>
    <t>GMP Solar/Storage-Milton Hybrid</t>
  </si>
  <si>
    <t>GMP Solar/Storage-Ferrisburgh Hybrid</t>
  </si>
  <si>
    <t>GMP Solar/Storage-Essex Hybrid</t>
  </si>
  <si>
    <t>Pasto Solar</t>
  </si>
  <si>
    <t>Spencer-Tioga Solar, LLC</t>
  </si>
  <si>
    <t>Daum Solar</t>
  </si>
  <si>
    <t>Middlesex-Yates Solar, LLC</t>
  </si>
  <si>
    <t>Ellis Solar</t>
  </si>
  <si>
    <t>Dryden-Tompkins Solar I, LLC</t>
  </si>
  <si>
    <t>Westminster</t>
  </si>
  <si>
    <t>Spencer TGC Westminster, LLC</t>
  </si>
  <si>
    <t>JLL-One Rockwood Road</t>
  </si>
  <si>
    <t>Mount Sinai South Nassau</t>
  </si>
  <si>
    <t>South Nassau Communities Hospital</t>
  </si>
  <si>
    <t>St. Johns Episcopal Hospital</t>
  </si>
  <si>
    <t>St. Joseph Hospital</t>
  </si>
  <si>
    <t>St. Joseph Hospital (NY)</t>
  </si>
  <si>
    <t>Mt.Sinai-St.Lukes Roosevelt Hosp. Center</t>
  </si>
  <si>
    <t>Mt.Sinai-St.Lukes Rsvlt. Hospital Center</t>
  </si>
  <si>
    <t>Gaskill Rd Community Solar Farm CSG</t>
  </si>
  <si>
    <t>Dryden Rd #2 Community Solar Farm CSG</t>
  </si>
  <si>
    <t>Woodoak Drive Community Solar Farm CSG</t>
  </si>
  <si>
    <t>CMR Solar LLC</t>
  </si>
  <si>
    <t>CMR Solar, LLC</t>
  </si>
  <si>
    <t>Villa Roma Rd #3 CSG</t>
  </si>
  <si>
    <t>Villa Roma Rd #4 CSG</t>
  </si>
  <si>
    <t>Boas Rd #1 Community Solar Farm</t>
  </si>
  <si>
    <t>NY Mooers I, LLC</t>
  </si>
  <si>
    <t>Boas Rd #2 Community Solar Farm</t>
  </si>
  <si>
    <t>NY Mooers II, LLC</t>
  </si>
  <si>
    <t>Boas Rd #3 Community Solar Farm</t>
  </si>
  <si>
    <t>NY Mooers III, LLC</t>
  </si>
  <si>
    <t>Kearsarge Johnstown 1 CSG</t>
  </si>
  <si>
    <t>Kearsarge Johnstown 2 CSG</t>
  </si>
  <si>
    <t>Kearsarge Wilmington</t>
  </si>
  <si>
    <t>Kearsarge Wilmington LLC</t>
  </si>
  <si>
    <t>GD Richmond Buttonwoods I, LLC</t>
  </si>
  <si>
    <t>Jiminy Peak Wind QF</t>
  </si>
  <si>
    <t>Jiminy Peak Mountain Resort, LLC</t>
  </si>
  <si>
    <t>Plainfield Community Solar LLC</t>
  </si>
  <si>
    <t>Plainfield Solar LLC</t>
  </si>
  <si>
    <t>Tolland Solar NG LLC</t>
  </si>
  <si>
    <t>Newfield Community Solar LLC</t>
  </si>
  <si>
    <t>Newfield Solar LLC</t>
  </si>
  <si>
    <t>Beebe Substation Battery Storage</t>
  </si>
  <si>
    <t>Montefiore Mount Vernon Hospital</t>
  </si>
  <si>
    <t>Rockland Bakery Inc.</t>
  </si>
  <si>
    <t>Minuteman Energy Storage</t>
  </si>
  <si>
    <t>Minuteman Eenergy Storage, LLC</t>
  </si>
  <si>
    <t>Happy Hollow CSG Hybrid</t>
  </si>
  <si>
    <t>DWW Solar ll</t>
  </si>
  <si>
    <t>DWW Solar ll LLC</t>
  </si>
  <si>
    <t>Nautilus Goat Island Solar CSG LLC</t>
  </si>
  <si>
    <t>CED Northampton Solar LLC Hybrid</t>
  </si>
  <si>
    <t>Steel Sun 2: 2303-III-9 Hamburg Tpke</t>
  </si>
  <si>
    <t>Steel Sun 2: 2303-III-4 Hamburg Tpke</t>
  </si>
  <si>
    <t>Steel Sun 2: 2303-III-2 Hamburg Tpke</t>
  </si>
  <si>
    <t>Homer Street West</t>
  </si>
  <si>
    <t>Homer Street East</t>
  </si>
  <si>
    <t>MHG Wallingford</t>
  </si>
  <si>
    <t>Standard Solar</t>
  </si>
  <si>
    <t>East Hampton Energy Storage Center</t>
  </si>
  <si>
    <t>East Hampton Energy Storage Center, LLC</t>
  </si>
  <si>
    <t>Montauk Energy Storage Center</t>
  </si>
  <si>
    <t>Montauk Energy Storage Center, LLC</t>
  </si>
  <si>
    <t>Harbec Energy</t>
  </si>
  <si>
    <t>Greenville CSG</t>
  </si>
  <si>
    <t>Greenville NY 1, LLC</t>
  </si>
  <si>
    <t>Hopkinton CSG</t>
  </si>
  <si>
    <t>Hopkinton MA 1, LLC</t>
  </si>
  <si>
    <t>Chester CSG</t>
  </si>
  <si>
    <t>Chester NY 1, LLC</t>
  </si>
  <si>
    <t>Carver CSG</t>
  </si>
  <si>
    <t>Carver MA 2, LLC</t>
  </si>
  <si>
    <t>Westtown CSG</t>
  </si>
  <si>
    <t>Westtown NY 1, LLC</t>
  </si>
  <si>
    <t>Sugarhill Road - Solitude Solar CSG</t>
  </si>
  <si>
    <t>GSPP Devens, LLC</t>
  </si>
  <si>
    <t>Green Street Power Partners</t>
  </si>
  <si>
    <t>GSPP Terrawatt Westfield LLC CSG</t>
  </si>
  <si>
    <t>GSPP  Raynham TMLP, LLC CSG</t>
  </si>
  <si>
    <t>Ajax Solar, LLC (MA)</t>
  </si>
  <si>
    <t>Podunk Road CSG</t>
  </si>
  <si>
    <t>NY Enfield I LLC</t>
  </si>
  <si>
    <t>Acushnet Ball Plant 2</t>
  </si>
  <si>
    <t>Acushnet</t>
  </si>
  <si>
    <t>Nextsun Energy Littleton</t>
  </si>
  <si>
    <t>Nextsun Energy Littleton LLC</t>
  </si>
  <si>
    <t>Garnet Solar (NY)</t>
  </si>
  <si>
    <t>Coventry Clean Energy Corporation</t>
  </si>
  <si>
    <t>Gardner - Otter River Road</t>
  </si>
  <si>
    <t>Otter River Road Solar LLC</t>
  </si>
  <si>
    <t>GSPP Boxborough Littleton (MA)</t>
  </si>
  <si>
    <t>GSPP Boxborough Littleton, LLC</t>
  </si>
  <si>
    <t>Holiday Hill Community Wind</t>
  </si>
  <si>
    <t>Hinesburg</t>
  </si>
  <si>
    <t>Viridity Energy Solutions, Inc.</t>
  </si>
  <si>
    <t>Kearsarge Gill</t>
  </si>
  <si>
    <t>Kearsarge Gill LLC</t>
  </si>
  <si>
    <t>Burrstone Energy Center</t>
  </si>
  <si>
    <t>Syncarpha Blandford Hybrid CSG</t>
  </si>
  <si>
    <t>Syncarpha Blandford, LLC</t>
  </si>
  <si>
    <t>East Pulaski BESS</t>
  </si>
  <si>
    <t>National Grid</t>
  </si>
  <si>
    <t>Goose Pond Solar</t>
  </si>
  <si>
    <t>LSE Dorado, LLC</t>
  </si>
  <si>
    <t>25 Ashdown Road Solar, LLC</t>
  </si>
  <si>
    <t>Finchville Solar, LLC Hybrid</t>
  </si>
  <si>
    <t>RT 52 Walden Solar 1, LLC Hybrid</t>
  </si>
  <si>
    <t>Ransomville Solar 1, LLC</t>
  </si>
  <si>
    <t>Johnstown Solar 1, LLC</t>
  </si>
  <si>
    <t>Hollygrove CSG</t>
  </si>
  <si>
    <t>Forefront Power, LLC</t>
  </si>
  <si>
    <t>Guildlerland CSG</t>
  </si>
  <si>
    <t>Howland CSG</t>
  </si>
  <si>
    <t>Gifford CSG</t>
  </si>
  <si>
    <t>Czub CSG</t>
  </si>
  <si>
    <t>Mereand CSG</t>
  </si>
  <si>
    <t>Aegis CSG</t>
  </si>
  <si>
    <t>Pearl CSG</t>
  </si>
  <si>
    <t>Bethlehem Solar</t>
  </si>
  <si>
    <t>Frog Hollow CSG</t>
  </si>
  <si>
    <t>Dover CSG</t>
  </si>
  <si>
    <t>Strauss CSG</t>
  </si>
  <si>
    <t>Ellsworth I CSG</t>
  </si>
  <si>
    <t>West Street Solar 1 LLC</t>
  </si>
  <si>
    <t>VPPSA Project 10</t>
  </si>
  <si>
    <t>Vermont Public Power Supply Authority</t>
  </si>
  <si>
    <t>Battle Creek Solar</t>
  </si>
  <si>
    <t>Middleton Solar Park</t>
  </si>
  <si>
    <t>HG Solar Development, LLC</t>
  </si>
  <si>
    <t>Knaggs Brothers Farm</t>
  </si>
  <si>
    <t>Dynamic Energy Solutions, LLC</t>
  </si>
  <si>
    <t>Brookfield Wire Company</t>
  </si>
  <si>
    <t>Kings Plaza Total Energy Plant (TEP)</t>
  </si>
  <si>
    <t>Veolia North America</t>
  </si>
  <si>
    <t>Sherman Solar</t>
  </si>
  <si>
    <t>Jackson Solar (CT)</t>
  </si>
  <si>
    <t>Becton Canaan</t>
  </si>
  <si>
    <t>DG Northeast 1, LLC</t>
  </si>
  <si>
    <t>Barneveld Solar</t>
  </si>
  <si>
    <t>Brass Mill Center</t>
  </si>
  <si>
    <t>Natick Mall</t>
  </si>
  <si>
    <t>Grand Prix Solar</t>
  </si>
  <si>
    <t>Diamond Properties</t>
  </si>
  <si>
    <t>100 Brook Hill Drive Solar</t>
  </si>
  <si>
    <t>Hobart &amp; William Smith College Gates Rd.</t>
  </si>
  <si>
    <t>Ticket Network South Windsor</t>
  </si>
  <si>
    <t>Corbin Russwin Phase 3 Berlin</t>
  </si>
  <si>
    <t>GSPP Gilman, LLC</t>
  </si>
  <si>
    <t>Riley Road LLC</t>
  </si>
  <si>
    <t>Hope Solar Farm LLC</t>
  </si>
  <si>
    <t>Catlin Solar 1 LLC</t>
  </si>
  <si>
    <t>Saratoga Solar LLC</t>
  </si>
  <si>
    <t>CP Middletown Solar I LLC</t>
  </si>
  <si>
    <t>CP Middletown Solar II LLC</t>
  </si>
  <si>
    <t>Kearsarge Amesbury Hybrid</t>
  </si>
  <si>
    <t>Kearsarge Amesbury LLC</t>
  </si>
  <si>
    <t>Pearl II</t>
  </si>
  <si>
    <t>Macedon</t>
  </si>
  <si>
    <t>Abundant Solar Power Inc.</t>
  </si>
  <si>
    <t>Whittier</t>
  </si>
  <si>
    <t>Williamson</t>
  </si>
  <si>
    <t>Bennett</t>
  </si>
  <si>
    <t>UB Fuel Cell</t>
  </si>
  <si>
    <t>Clearway Energy, Inc</t>
  </si>
  <si>
    <t>Chenango Solar</t>
  </si>
  <si>
    <t>Calabro Airport North Solar Project</t>
  </si>
  <si>
    <t>Calabro Airport South Solar Project</t>
  </si>
  <si>
    <t>Mohonasen Central School District</t>
  </si>
  <si>
    <t>Amazon_BLD3</t>
  </si>
  <si>
    <t>Solar Star Prime 1 LLC</t>
  </si>
  <si>
    <t>St. Joseph's Solar, LLC CSG</t>
  </si>
  <si>
    <t>38 Degrees North, LLC</t>
  </si>
  <si>
    <t>Boutillier Solar, LLC CSG</t>
  </si>
  <si>
    <t>Blair Wire Village Solar, LLC CSG</t>
  </si>
  <si>
    <t>Barton Acres Solar, LLC CSG</t>
  </si>
  <si>
    <t>Cherry Valley Solar, LLC CSG</t>
  </si>
  <si>
    <t>ISM Solar Dighton 2, LLC CSG</t>
  </si>
  <si>
    <t>Incom Solar, LLC CSG</t>
  </si>
  <si>
    <t>JH Solar, LLC CSG</t>
  </si>
  <si>
    <t>Woodchuck Solar, LLC CSG</t>
  </si>
  <si>
    <t>Dudley River 3 Solar, LLC CSG</t>
  </si>
  <si>
    <t>Dudley River 2 Solar, LLC CSG</t>
  </si>
  <si>
    <t>Dudley River Solar, LLC CSG</t>
  </si>
  <si>
    <t>Ledeaux Solar, LLC CSG</t>
  </si>
  <si>
    <t>Cohasse Solar, LLC CSG</t>
  </si>
  <si>
    <t>Palombo Solar, LLC CSG</t>
  </si>
  <si>
    <t>Palombo B Solar, LLC CSG</t>
  </si>
  <si>
    <t>One Patriot</t>
  </si>
  <si>
    <t>SDM000 Clarkson Fuel Cell</t>
  </si>
  <si>
    <t>2016 ESA Project Company, LLC</t>
  </si>
  <si>
    <t>NHH003 Clarkson Fuel Cell</t>
  </si>
  <si>
    <t>NHH004 Winthrop Fuel Cell</t>
  </si>
  <si>
    <t>Bowden Solar LLC</t>
  </si>
  <si>
    <t>38DN Power Fund 1 LLC</t>
  </si>
  <si>
    <t>University Solar, LLC</t>
  </si>
  <si>
    <t>Lakeville Solar</t>
  </si>
  <si>
    <t>C2 MA Lakeville, LLC</t>
  </si>
  <si>
    <t>Norwalk Hospital Plant</t>
  </si>
  <si>
    <t>Norwalk Hospital</t>
  </si>
  <si>
    <t>Oak Street Solar</t>
  </si>
  <si>
    <t>Cranberry Solar</t>
  </si>
  <si>
    <t>GWE Cranberry Solar RT, LLC</t>
  </si>
  <si>
    <t>Mount Hope East</t>
  </si>
  <si>
    <t>Mount Hope Solar 1 LLC</t>
  </si>
  <si>
    <t>Bluestone</t>
  </si>
  <si>
    <t>Bluestone Solar LLC</t>
  </si>
  <si>
    <t>Underhill</t>
  </si>
  <si>
    <t>Underhill Solar LLC</t>
  </si>
  <si>
    <t>Grabinski</t>
  </si>
  <si>
    <t>Grabinski Solar LLC</t>
  </si>
  <si>
    <t>Adirondack Solar</t>
  </si>
  <si>
    <t>NY - CSG - Ellsworth II</t>
  </si>
  <si>
    <t>MMBTUs do not match</t>
  </si>
  <si>
    <t>EIA is now Cleary Flood Hybrid</t>
  </si>
  <si>
    <t>EIA Wyman Hybrid - but battery separate</t>
  </si>
  <si>
    <t>annual values as reported to FLIGHT</t>
  </si>
  <si>
    <t>Cogen</t>
  </si>
  <si>
    <t>12/3/20-NE-ISO 2019 Net Energy Peak by Source (dated 10/16/20)</t>
  </si>
  <si>
    <t>Pumping / Charging Load</t>
  </si>
  <si>
    <t>https://www.govinfo.gov/content/pkg/FR-2016-12-09/pdf/2016-28564.pdf</t>
  </si>
  <si>
    <t>Changes made in 2016 (effective 1/1/2018) (page 89252 below) do not change the values from the 2014 tables, just some of the fuel names</t>
  </si>
  <si>
    <t>https://www.ipcc.ch/site/assets/uploads/2019/06/2019-Refinement_Energy_SBSTA-IPCC_Special-Event.pdf</t>
  </si>
  <si>
    <t>Released: February 21, 2021 (Corrected)
Next Update: October 2021</t>
  </si>
  <si>
    <t>2019 Refinement: All changes made to Fugitive Emission factors, none to Stationary Combustion</t>
  </si>
  <si>
    <t>NOTE: 2019 923</t>
  </si>
  <si>
    <t>data via email on 4/15/21 (request 4/2/21)</t>
  </si>
  <si>
    <t>FC NG</t>
  </si>
  <si>
    <t>Fuel cell (Natural Gas)</t>
  </si>
  <si>
    <t>FC (Prime Mover) NG</t>
  </si>
  <si>
    <t>fuel cell natural gas</t>
  </si>
  <si>
    <t>natural gas (without fuel cell natural gas)</t>
  </si>
  <si>
    <t>lbs CO2/MWh</t>
  </si>
  <si>
    <t>lbs CO2</t>
  </si>
  <si>
    <t>FUEL CELL Natural Gas</t>
  </si>
  <si>
    <t>Catalog of CHP Technologies, Section 6. Technology Characterization – Fuel Cells (epa.gov)</t>
  </si>
  <si>
    <t>Source (page 6-19):</t>
  </si>
  <si>
    <t>Non-Combustion Emission Factor from Fuel Cells</t>
  </si>
  <si>
    <t xml:space="preserve">CO2 emission factor for FC NG </t>
  </si>
  <si>
    <t>Emission factor is the average of 5 fuel cell system types, with and without heat recovery.</t>
  </si>
  <si>
    <t>The Quantity, MMBTU and MWh totals for Fuel Cell Natural Gas below are subtracted from the natural gas totals from each relevant state above, so that they are not included in the state's natural gas combustion emissions on the Generation CO2e tab or heat rates on the GIS tab. Non-combustion process emissions of CO2 from Fuel Cells using natural gas are calculated separately on the Generation CO2e tab.</t>
  </si>
  <si>
    <t>Non-combustion process emissions of CO2 from Fuel Cells using natural gas for each state are calculated sepaprately from natural gas combustion emissions on the Generation CO2e tab. Non-combustion emissions from GIS certificates for fuel cells using natural gas are calculated on the GIS CO2e tab.</t>
  </si>
  <si>
    <t>Fuel cell (Natural Gas) non-combustion CO2 emissions are calculated directly from MWh (certificates) instead of MMBTUs so the heat rate values remain blank. To date these are in-state emissions.</t>
  </si>
  <si>
    <t>The calculation of non-combustion CO2 emissions from fuel cells using natural gas (for CT and MA) are calculated from the MWh value on the 'GIS' tab instead of the MMBTU value in Column Q.</t>
  </si>
  <si>
    <t>A net MMBTU value from all ISO meter types for each state and province is provided in Column H.</t>
  </si>
  <si>
    <t>For details on the conversion of the GIS certificates from emitting fuels into MMBTUs, see the 'GIS' tab. Consolidation of the MMBTUs from the 'GIS' tab takes place on the 'GIS Heat Input' tab prior to being used here.</t>
  </si>
  <si>
    <r>
      <rPr>
        <b/>
        <u/>
        <sz val="12"/>
        <rFont val="Arial"/>
        <family val="2"/>
      </rPr>
      <t>ISO-MSS EMISSIONS REMOVED-FROM-STATE [A172 through N278]</t>
    </r>
    <r>
      <rPr>
        <sz val="12"/>
        <rFont val="Arial"/>
        <family val="2"/>
      </rPr>
      <t xml:space="preserve">: </t>
    </r>
  </si>
  <si>
    <r>
      <rPr>
        <b/>
        <u/>
        <sz val="12"/>
        <rFont val="Arial"/>
        <family val="2"/>
      </rPr>
      <t>ISO-MSS EMISSIONS THAT SETTLE-IN-STATE [A288 through Q428]</t>
    </r>
    <r>
      <rPr>
        <sz val="12"/>
        <rFont val="Arial"/>
        <family val="2"/>
      </rPr>
      <t xml:space="preserve">: </t>
    </r>
  </si>
  <si>
    <r>
      <t xml:space="preserve">Note: </t>
    </r>
    <r>
      <rPr>
        <sz val="10"/>
        <rFont val="Arial"/>
        <family val="2"/>
      </rPr>
      <t>The New Brunswick data summarized here and on the 'Imported Emissions' tab includes:  MWh imported into ISO-NE from New Brunswick ('Generation Load Import' tab), emissions from New Brunswick generation ('Generation CO2e' tab), and GIS certificate data.</t>
    </r>
  </si>
  <si>
    <t>MA-Based and Regional Emission Rates  &amp; GIS System Mix Emission Rates (NY, NB, Q) [Column H, this tab]</t>
  </si>
  <si>
    <t>GHG Emission Factors (EFs) for Massachusetts Retail Seller GHG Reporting (before and after Retail Seller claiming specific generation)</t>
  </si>
  <si>
    <r>
      <t>The</t>
    </r>
    <r>
      <rPr>
        <b/>
        <sz val="10"/>
        <color indexed="8"/>
        <rFont val="Calibri (Body)"/>
      </rPr>
      <t xml:space="preserve"> Summary Tables </t>
    </r>
    <r>
      <rPr>
        <sz val="10"/>
        <color indexed="8"/>
        <rFont val="Calibri (Body)"/>
      </rPr>
      <t>[D14:Q17] include the Initial Emission Factors Summary Table [D14:G17], the Retail Seller MWh and GHGs [I14:L17] and the Final Emissions Factors Summary Table [N14:Q17].</t>
    </r>
  </si>
  <si>
    <r>
      <rPr>
        <b/>
        <sz val="10"/>
        <rFont val="Calibri"/>
        <family val="2"/>
      </rPr>
      <t>lb CO2e/MWh:</t>
    </r>
    <r>
      <rPr>
        <sz val="10"/>
        <rFont val="Calibri"/>
        <family val="2"/>
      </rPr>
      <t xml:space="preserve">  Calculates MA-Based and Regional Emission Rates from Electricity Consumption Emissions (including for GIS certificates) and Electric Load (including GIS certificates and pumping).</t>
    </r>
  </si>
  <si>
    <t xml:space="preserve">Specific Generation from Massachusetts Retail Sellers: MWh and GHGs </t>
  </si>
  <si>
    <t>Fom Municipal Electric Departments &amp; Light Boards
(AQ31)</t>
  </si>
  <si>
    <t>From Competitive Suppliers &amp; Electric Utilities
(GHG tab)</t>
  </si>
  <si>
    <t>FINAL Emission Factors
Summary Table</t>
  </si>
  <si>
    <t>GHG Emission Factors after accounting for Massachusetts Retail Seller's specific GIS certificates
(lb CO2e/MWh)</t>
  </si>
  <si>
    <t>MWh</t>
  </si>
  <si>
    <t>These are the emission factors to be used for MA Retail Seller GHG reporting.</t>
  </si>
  <si>
    <t>Massachusetts-
Based</t>
  </si>
  <si>
    <t>Regional</t>
  </si>
  <si>
    <t>Non-Biogenic CO2e (lb)</t>
  </si>
  <si>
    <t>Biogenic CO2e (lb)</t>
  </si>
  <si>
    <t>Initial Emission Factors
 Summary Table</t>
  </si>
  <si>
    <t>GHG Emission Factors accounting for all GIS certificates
(lb CO2e/MWh)</t>
  </si>
  <si>
    <t>These values are used for the initial GHG emission factors in MA Retail Seller GHG reporting.</t>
  </si>
  <si>
    <t>Massachusetts-Based</t>
  </si>
  <si>
    <r>
      <t>The</t>
    </r>
    <r>
      <rPr>
        <b/>
        <sz val="10"/>
        <color indexed="8"/>
        <rFont val="Calibri (Body)"/>
      </rPr>
      <t xml:space="preserve"> Initial Emissions Factor Summary Table </t>
    </r>
    <r>
      <rPr>
        <sz val="10"/>
        <color indexed="8"/>
        <rFont val="Calibri (Body)"/>
      </rPr>
      <t>[D14:G17] summarizes the initial Massachusetts-based and Regional non-biogenic and biogenic CO2e emission rates for Massachusetts retail sellers of electricity in pounds of CO2e per MWh, after accounting for all GIS certificates.</t>
    </r>
  </si>
  <si>
    <r>
      <rPr>
        <b/>
        <sz val="10"/>
        <color indexed="8"/>
        <rFont val="Calibri (Body)"/>
      </rPr>
      <t xml:space="preserve">Specific Generation from Massachusetts Retail Sellers: MWh and GHGs </t>
    </r>
    <r>
      <rPr>
        <sz val="10"/>
        <color indexed="8"/>
        <rFont val="Calibri (Body)"/>
      </rPr>
      <t>[I13:L17] summarizes the specific MWh and non-biogenic and biogenic CO2e emissions claimed by retail sellers in their GHG tabs and optional AQ31 reports.</t>
    </r>
  </si>
  <si>
    <r>
      <t xml:space="preserve">The </t>
    </r>
    <r>
      <rPr>
        <b/>
        <sz val="10"/>
        <color indexed="8"/>
        <rFont val="Calibri (Body)"/>
      </rPr>
      <t>Final Emissions Factor Summary Table</t>
    </r>
    <r>
      <rPr>
        <sz val="10"/>
        <color indexed="8"/>
        <rFont val="Calibri (Body)"/>
      </rPr>
      <t xml:space="preserve"> [N14:Q17] summarizes the Final EFs that would be used for Retail Seller emissions reporting. It shows the EFs after removing MA retail seller specific claims in the Retail Seller MWh and GHGs Summary Table from the Initial EFs.</t>
    </r>
  </si>
  <si>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 Also displays specific generation reported by MA retail sellers.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</si>
</sst>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8" formatCode="#,##0.000"/>
    <numFmt numFmtId="169" formatCode="_(* #,##0.0_);_(* \(#,##0.0\);_(* &quot;-&quot;??_);_(@_)"/>
    <numFmt numFmtId="170" formatCode="_(* #,##0_);_(* \(#,##0\);_(* &quot;-&quot;??_);_(@_)"/>
    <numFmt numFmtId="171" formatCode="0.0%"/>
    <numFmt numFmtId="174" formatCode="#,##0.0"/>
    <numFmt numFmtId="175" formatCode="#,##0.0000"/>
    <numFmt numFmtId="176" formatCode="0.0000"/>
    <numFmt numFmtId="177" formatCode="0.000"/>
    <numFmt numFmtId="179" formatCode="0.0"/>
    <numFmt numFmtId="189" formatCode="_(* #,##0.0_);_(* \(#,##0.0\);_(* &quot;-&quot;?_);_(@_)"/>
    <numFmt numFmtId="190" formatCode="#,##0.0_);[Red]\(#,##0.0\)"/>
    <numFmt numFmtId="193" formatCode="0.00000"/>
  </numFmts>
  <fonts count="116">
    <font>
      <sz val="10"/>
      <name val="Arial"/>
    </font>
    <font>
      <sz val="10"/>
      <name val="Arial"/>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b/>
      <sz val="12"/>
      <color indexed="30"/>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10"/>
      <color indexed="8"/>
      <name val="Arial"/>
      <family val="2"/>
    </font>
    <font>
      <b/>
      <sz val="10"/>
      <color indexed="8"/>
      <name val="Calibri (Body)"/>
    </font>
    <font>
      <sz val="10"/>
      <color indexed="8"/>
      <name val="Calibri (Body)"/>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sz val="10"/>
      <color theme="3" tint="0.39997558519241921"/>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12"/>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b/>
      <sz val="10"/>
      <color theme="1"/>
      <name val="Arial"/>
      <family val="2"/>
    </font>
    <font>
      <sz val="11"/>
      <color rgb="FFFF0000"/>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u/>
      <sz val="10"/>
      <color theme="3" tint="-0.249977111117893"/>
      <name val="Arial"/>
      <family val="2"/>
    </font>
    <font>
      <b/>
      <sz val="9"/>
      <color theme="1"/>
      <name val="Arial"/>
      <family val="2"/>
    </font>
    <font>
      <sz val="10"/>
      <color theme="1"/>
      <name val="Calibri (Body)"/>
    </font>
    <font>
      <b/>
      <i/>
      <sz val="10"/>
      <name val="Calibri"/>
      <family val="2"/>
      <scheme val="minor"/>
    </font>
    <font>
      <b/>
      <sz val="16"/>
      <name val="Calibri"/>
      <family val="2"/>
      <scheme val="minor"/>
    </font>
    <font>
      <i/>
      <sz val="10"/>
      <name val="Calibri"/>
      <family val="2"/>
      <scheme val="minor"/>
    </font>
  </fonts>
  <fills count="77">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FEAF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CC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1">
    <xf numFmtId="0" fontId="0" fillId="0" borderId="0"/>
    <xf numFmtId="0" fontId="10" fillId="2" borderId="0" applyNumberFormat="0" applyBorder="0" applyAlignment="0" applyProtection="0"/>
    <xf numFmtId="0" fontId="51" fillId="21" borderId="0" applyNumberFormat="0" applyBorder="0" applyAlignment="0" applyProtection="0"/>
    <xf numFmtId="0" fontId="10" fillId="3" borderId="0" applyNumberFormat="0" applyBorder="0" applyAlignment="0" applyProtection="0"/>
    <xf numFmtId="0" fontId="51" fillId="22" borderId="0" applyNumberFormat="0" applyBorder="0" applyAlignment="0" applyProtection="0"/>
    <xf numFmtId="0" fontId="10" fillId="5" borderId="0" applyNumberFormat="0" applyBorder="0" applyAlignment="0" applyProtection="0"/>
    <xf numFmtId="0" fontId="51" fillId="23" borderId="0" applyNumberFormat="0" applyBorder="0" applyAlignment="0" applyProtection="0"/>
    <xf numFmtId="0" fontId="10" fillId="2" borderId="0" applyNumberFormat="0" applyBorder="0" applyAlignment="0" applyProtection="0"/>
    <xf numFmtId="0" fontId="51" fillId="24" borderId="0" applyNumberFormat="0" applyBorder="0" applyAlignment="0" applyProtection="0"/>
    <xf numFmtId="0" fontId="10" fillId="7" borderId="0" applyNumberFormat="0" applyBorder="0" applyAlignment="0" applyProtection="0"/>
    <xf numFmtId="0" fontId="51" fillId="25" borderId="0" applyNumberFormat="0" applyBorder="0" applyAlignment="0" applyProtection="0"/>
    <xf numFmtId="0" fontId="10" fillId="3" borderId="0" applyNumberFormat="0" applyBorder="0" applyAlignment="0" applyProtection="0"/>
    <xf numFmtId="0" fontId="51" fillId="26" borderId="0" applyNumberFormat="0" applyBorder="0" applyAlignment="0" applyProtection="0"/>
    <xf numFmtId="0" fontId="10" fillId="8" borderId="0" applyNumberFormat="0" applyBorder="0" applyAlignment="0" applyProtection="0"/>
    <xf numFmtId="0" fontId="51" fillId="27" borderId="0" applyNumberFormat="0" applyBorder="0" applyAlignment="0" applyProtection="0"/>
    <xf numFmtId="0" fontId="10" fillId="10" borderId="0" applyNumberFormat="0" applyBorder="0" applyAlignment="0" applyProtection="0"/>
    <xf numFmtId="0" fontId="51" fillId="28" borderId="0" applyNumberFormat="0" applyBorder="0" applyAlignment="0" applyProtection="0"/>
    <xf numFmtId="0" fontId="10" fillId="11" borderId="0" applyNumberFormat="0" applyBorder="0" applyAlignment="0" applyProtection="0"/>
    <xf numFmtId="0" fontId="51" fillId="29" borderId="0" applyNumberFormat="0" applyBorder="0" applyAlignment="0" applyProtection="0"/>
    <xf numFmtId="0" fontId="10" fillId="8" borderId="0" applyNumberFormat="0" applyBorder="0" applyAlignment="0" applyProtection="0"/>
    <xf numFmtId="0" fontId="51" fillId="30" borderId="0" applyNumberFormat="0" applyBorder="0" applyAlignment="0" applyProtection="0"/>
    <xf numFmtId="0" fontId="10" fillId="9" borderId="0" applyNumberFormat="0" applyBorder="0" applyAlignment="0" applyProtection="0"/>
    <xf numFmtId="0" fontId="51" fillId="31" borderId="0" applyNumberFormat="0" applyBorder="0" applyAlignment="0" applyProtection="0"/>
    <xf numFmtId="0" fontId="10" fillId="3" borderId="0" applyNumberFormat="0" applyBorder="0" applyAlignment="0" applyProtection="0"/>
    <xf numFmtId="0" fontId="51" fillId="32" borderId="0" applyNumberFormat="0" applyBorder="0" applyAlignment="0" applyProtection="0"/>
    <xf numFmtId="0" fontId="12" fillId="12" borderId="0" applyNumberFormat="0" applyBorder="0" applyAlignment="0" applyProtection="0"/>
    <xf numFmtId="0" fontId="52" fillId="33" borderId="0" applyNumberFormat="0" applyBorder="0" applyAlignment="0" applyProtection="0"/>
    <xf numFmtId="0" fontId="12" fillId="10" borderId="0" applyNumberFormat="0" applyBorder="0" applyAlignment="0" applyProtection="0"/>
    <xf numFmtId="0" fontId="52" fillId="34" borderId="0" applyNumberFormat="0" applyBorder="0" applyAlignment="0" applyProtection="0"/>
    <xf numFmtId="0" fontId="12" fillId="11" borderId="0" applyNumberFormat="0" applyBorder="0" applyAlignment="0" applyProtection="0"/>
    <xf numFmtId="0" fontId="52" fillId="35" borderId="0" applyNumberFormat="0" applyBorder="0" applyAlignment="0" applyProtection="0"/>
    <xf numFmtId="0" fontId="12" fillId="8" borderId="0" applyNumberFormat="0" applyBorder="0" applyAlignment="0" applyProtection="0"/>
    <xf numFmtId="0" fontId="52" fillId="36" borderId="0" applyNumberFormat="0" applyBorder="0" applyAlignment="0" applyProtection="0"/>
    <xf numFmtId="0" fontId="12" fillId="12" borderId="0" applyNumberFormat="0" applyBorder="0" applyAlignment="0" applyProtection="0"/>
    <xf numFmtId="0" fontId="52" fillId="37" borderId="0" applyNumberFormat="0" applyBorder="0" applyAlignment="0" applyProtection="0"/>
    <xf numFmtId="0" fontId="12" fillId="3" borderId="0" applyNumberFormat="0" applyBorder="0" applyAlignment="0" applyProtection="0"/>
    <xf numFmtId="0" fontId="52" fillId="38" borderId="0" applyNumberFormat="0" applyBorder="0" applyAlignment="0" applyProtection="0"/>
    <xf numFmtId="0" fontId="12" fillId="12" borderId="0" applyNumberFormat="0" applyBorder="0" applyAlignment="0" applyProtection="0"/>
    <xf numFmtId="0" fontId="52" fillId="39" borderId="0" applyNumberFormat="0" applyBorder="0" applyAlignment="0" applyProtection="0"/>
    <xf numFmtId="0" fontId="12" fillId="13" borderId="0" applyNumberFormat="0" applyBorder="0" applyAlignment="0" applyProtection="0"/>
    <xf numFmtId="0" fontId="52" fillId="40" borderId="0" applyNumberFormat="0" applyBorder="0" applyAlignment="0" applyProtection="0"/>
    <xf numFmtId="0" fontId="12" fillId="14" borderId="0" applyNumberFormat="0" applyBorder="0" applyAlignment="0" applyProtection="0"/>
    <xf numFmtId="0" fontId="52" fillId="41" borderId="0" applyNumberFormat="0" applyBorder="0" applyAlignment="0" applyProtection="0"/>
    <xf numFmtId="0" fontId="12" fillId="15" borderId="0" applyNumberFormat="0" applyBorder="0" applyAlignment="0" applyProtection="0"/>
    <xf numFmtId="0" fontId="52" fillId="42" borderId="0" applyNumberFormat="0" applyBorder="0" applyAlignment="0" applyProtection="0"/>
    <xf numFmtId="0" fontId="12" fillId="12" borderId="0" applyNumberFormat="0" applyBorder="0" applyAlignment="0" applyProtection="0"/>
    <xf numFmtId="0" fontId="52" fillId="43" borderId="0" applyNumberFormat="0" applyBorder="0" applyAlignment="0" applyProtection="0"/>
    <xf numFmtId="0" fontId="12" fillId="16" borderId="0" applyNumberFormat="0" applyBorder="0" applyAlignment="0" applyProtection="0"/>
    <xf numFmtId="0" fontId="52" fillId="44" borderId="0" applyNumberFormat="0" applyBorder="0" applyAlignment="0" applyProtection="0"/>
    <xf numFmtId="0" fontId="13" fillId="4" borderId="0" applyNumberFormat="0" applyBorder="0" applyAlignment="0" applyProtection="0"/>
    <xf numFmtId="0" fontId="53" fillId="45" borderId="0" applyNumberFormat="0" applyBorder="0" applyAlignment="0" applyProtection="0"/>
    <xf numFmtId="0" fontId="14" fillId="2" borderId="1" applyNumberFormat="0" applyAlignment="0" applyProtection="0"/>
    <xf numFmtId="0" fontId="54" fillId="46" borderId="67" applyNumberFormat="0" applyAlignment="0" applyProtection="0"/>
    <xf numFmtId="0" fontId="15" fillId="17" borderId="2" applyNumberFormat="0" applyAlignment="0" applyProtection="0"/>
    <xf numFmtId="0" fontId="55" fillId="47" borderId="68"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7" fillId="6" borderId="0" applyNumberFormat="0" applyBorder="0" applyAlignment="0" applyProtection="0"/>
    <xf numFmtId="0" fontId="57" fillId="48" borderId="0" applyNumberFormat="0" applyBorder="0" applyAlignment="0" applyProtection="0"/>
    <xf numFmtId="0" fontId="18" fillId="0" borderId="3" applyNumberFormat="0" applyFill="0" applyAlignment="0" applyProtection="0"/>
    <xf numFmtId="0" fontId="58" fillId="0" borderId="69" applyNumberFormat="0" applyFill="0" applyAlignment="0" applyProtection="0"/>
    <xf numFmtId="0" fontId="19" fillId="0" borderId="4" applyNumberFormat="0" applyFill="0" applyAlignment="0" applyProtection="0"/>
    <xf numFmtId="0" fontId="59" fillId="0" borderId="70" applyNumberFormat="0" applyFill="0" applyAlignment="0" applyProtection="0"/>
    <xf numFmtId="0" fontId="20" fillId="0" borderId="5" applyNumberFormat="0" applyFill="0" applyAlignment="0" applyProtection="0"/>
    <xf numFmtId="0" fontId="60" fillId="0" borderId="71" applyNumberFormat="0" applyFill="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21" fillId="3" borderId="1" applyNumberFormat="0" applyAlignment="0" applyProtection="0"/>
    <xf numFmtId="0" fontId="62" fillId="49" borderId="67" applyNumberFormat="0" applyAlignment="0" applyProtection="0"/>
    <xf numFmtId="0" fontId="22" fillId="0" borderId="6" applyNumberFormat="0" applyFill="0" applyAlignment="0" applyProtection="0"/>
    <xf numFmtId="0" fontId="63" fillId="0" borderId="72" applyNumberFormat="0" applyFill="0" applyAlignment="0" applyProtection="0"/>
    <xf numFmtId="0" fontId="23" fillId="11" borderId="0" applyNumberFormat="0" applyBorder="0" applyAlignment="0" applyProtection="0"/>
    <xf numFmtId="0" fontId="64" fillId="50" borderId="0" applyNumberFormat="0" applyBorder="0" applyAlignment="0" applyProtection="0"/>
    <xf numFmtId="0" fontId="51" fillId="0" borderId="0"/>
    <xf numFmtId="0" fontId="4" fillId="0" borderId="0"/>
    <xf numFmtId="0" fontId="4" fillId="0" borderId="0"/>
    <xf numFmtId="0" fontId="10" fillId="0" borderId="0"/>
    <xf numFmtId="0" fontId="10" fillId="5" borderId="7" applyNumberFormat="0" applyFont="0" applyAlignment="0" applyProtection="0"/>
    <xf numFmtId="0" fontId="51" fillId="51" borderId="73" applyNumberFormat="0" applyFont="0" applyAlignment="0" applyProtection="0"/>
    <xf numFmtId="0" fontId="24" fillId="2" borderId="8" applyNumberFormat="0" applyAlignment="0" applyProtection="0"/>
    <xf numFmtId="0" fontId="65" fillId="46" borderId="74"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6" fillId="0" borderId="0" applyNumberFormat="0" applyFill="0" applyBorder="0" applyAlignment="0" applyProtection="0"/>
    <xf numFmtId="0" fontId="9" fillId="0" borderId="9" applyNumberFormat="0" applyFill="0" applyAlignment="0" applyProtection="0"/>
    <xf numFmtId="0" fontId="67" fillId="0" borderId="75" applyNumberFormat="0" applyFill="0" applyAlignment="0" applyProtection="0"/>
    <xf numFmtId="0" fontId="11" fillId="0" borderId="0" applyNumberFormat="0" applyFill="0" applyBorder="0" applyAlignment="0" applyProtection="0"/>
    <xf numFmtId="0" fontId="68" fillId="0" borderId="0" applyNumberFormat="0" applyFill="0" applyBorder="0" applyAlignment="0" applyProtection="0"/>
  </cellStyleXfs>
  <cellXfs count="945">
    <xf numFmtId="0" fontId="0" fillId="0" borderId="0" xfId="0"/>
    <xf numFmtId="3" fontId="0" fillId="0" borderId="0" xfId="0" applyNumberFormat="1"/>
    <xf numFmtId="0" fontId="0" fillId="0" borderId="0" xfId="0" applyBorder="1"/>
    <xf numFmtId="0" fontId="0" fillId="0" borderId="0" xfId="0" applyBorder="1" applyAlignment="1">
      <alignment horizontal="right"/>
    </xf>
    <xf numFmtId="0" fontId="0" fillId="0" borderId="0" xfId="0" applyBorder="1"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Fill="1" applyBorder="1" applyAlignment="1">
      <alignment horizontal="right"/>
    </xf>
    <xf numFmtId="0" fontId="0" fillId="0" borderId="0" xfId="0" applyAlignment="1">
      <alignment wrapText="1"/>
    </xf>
    <xf numFmtId="3" fontId="0" fillId="0" borderId="0" xfId="0" applyNumberFormat="1" applyFill="1"/>
    <xf numFmtId="0" fontId="0" fillId="0" borderId="0" xfId="0" applyFill="1" applyBorder="1" applyAlignment="1">
      <alignment horizontal="right"/>
    </xf>
    <xf numFmtId="0" fontId="0" fillId="0" borderId="0" xfId="0" applyFill="1"/>
    <xf numFmtId="0" fontId="0" fillId="18" borderId="0" xfId="0" applyFill="1"/>
    <xf numFmtId="0" fontId="0" fillId="0" borderId="0" xfId="0" applyFill="1" applyBorder="1"/>
    <xf numFmtId="3" fontId="0" fillId="0" borderId="0" xfId="0" applyNumberFormat="1" applyFill="1" applyBorder="1"/>
    <xf numFmtId="168" fontId="0" fillId="0" borderId="0" xfId="0" applyNumberFormat="1"/>
    <xf numFmtId="174" fontId="0" fillId="0" borderId="0" xfId="0" applyNumberFormat="1" applyFill="1"/>
    <xf numFmtId="0" fontId="26" fillId="0" borderId="0" xfId="0" applyFont="1"/>
    <xf numFmtId="3" fontId="26" fillId="0" borderId="0" xfId="0" applyNumberFormat="1" applyFont="1"/>
    <xf numFmtId="3" fontId="26" fillId="0" borderId="0" xfId="0" applyNumberFormat="1" applyFont="1" applyFill="1"/>
    <xf numFmtId="168" fontId="0" fillId="0" borderId="0" xfId="0" applyNumberFormat="1" applyFill="1"/>
    <xf numFmtId="168" fontId="0" fillId="0" borderId="0" xfId="0" applyNumberFormat="1" applyFill="1" applyAlignment="1">
      <alignment horizontal="right"/>
    </xf>
    <xf numFmtId="168" fontId="4" fillId="0" borderId="0" xfId="0" applyNumberFormat="1" applyFont="1" applyFill="1" applyAlignment="1">
      <alignment horizontal="right"/>
    </xf>
    <xf numFmtId="0" fontId="4" fillId="0" borderId="0" xfId="0" applyFont="1"/>
    <xf numFmtId="0" fontId="3" fillId="0" borderId="0" xfId="0" applyFont="1"/>
    <xf numFmtId="0" fontId="27" fillId="0" borderId="0" xfId="0" applyFont="1"/>
    <xf numFmtId="0" fontId="0" fillId="0" borderId="0" xfId="0" applyNumberFormat="1"/>
    <xf numFmtId="0" fontId="4" fillId="0" borderId="0" xfId="0" applyFont="1" applyFill="1"/>
    <xf numFmtId="0" fontId="4" fillId="0" borderId="0" xfId="0" applyFont="1" applyFill="1" applyBorder="1"/>
    <xf numFmtId="0" fontId="27" fillId="0" borderId="0" xfId="0" applyFont="1" applyFill="1"/>
    <xf numFmtId="38" fontId="0" fillId="0" borderId="0" xfId="0" applyNumberFormat="1" applyFill="1" applyBorder="1" applyAlignment="1">
      <alignment horizontal="right"/>
    </xf>
    <xf numFmtId="38" fontId="0" fillId="0" borderId="0" xfId="0" applyNumberFormat="1" applyFill="1" applyBorder="1"/>
    <xf numFmtId="0" fontId="69" fillId="0" borderId="0" xfId="0" applyFont="1" applyFill="1" applyBorder="1"/>
    <xf numFmtId="3" fontId="8" fillId="0" borderId="14" xfId="0" applyNumberFormat="1" applyFont="1" applyFill="1" applyBorder="1"/>
    <xf numFmtId="3" fontId="8" fillId="0" borderId="15" xfId="0" applyNumberFormat="1" applyFont="1" applyFill="1" applyBorder="1"/>
    <xf numFmtId="0" fontId="29" fillId="0" borderId="0" xfId="0" applyFont="1" applyFill="1" applyBorder="1"/>
    <xf numFmtId="0" fontId="31" fillId="0" borderId="0" xfId="0" applyFont="1"/>
    <xf numFmtId="0" fontId="3" fillId="0" borderId="0" xfId="0" applyFont="1" applyBorder="1" applyAlignment="1">
      <alignment horizontal="center"/>
    </xf>
    <xf numFmtId="3" fontId="0" fillId="0" borderId="0" xfId="0" applyNumberFormat="1" applyBorder="1"/>
    <xf numFmtId="174" fontId="0" fillId="0" borderId="0" xfId="0" applyNumberFormat="1" applyFill="1" applyBorder="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70" fillId="0" borderId="17" xfId="0" applyFont="1" applyFill="1" applyBorder="1" applyAlignment="1">
      <alignment horizontal="left"/>
    </xf>
    <xf numFmtId="0" fontId="69" fillId="0" borderId="0" xfId="0" applyFont="1" applyBorder="1"/>
    <xf numFmtId="177" fontId="0" fillId="0" borderId="0" xfId="0" applyNumberFormat="1"/>
    <xf numFmtId="0" fontId="8" fillId="0" borderId="0" xfId="0" applyFont="1" applyFill="1" applyBorder="1" applyAlignment="1">
      <alignment horizontal="center"/>
    </xf>
    <xf numFmtId="0" fontId="71" fillId="0" borderId="0" xfId="0" applyFont="1" applyFill="1" applyBorder="1"/>
    <xf numFmtId="0" fontId="70" fillId="0" borderId="17" xfId="0" applyFont="1" applyFill="1" applyBorder="1"/>
    <xf numFmtId="0" fontId="72" fillId="0" borderId="0" xfId="0" applyFont="1" applyFill="1" applyBorder="1"/>
    <xf numFmtId="0" fontId="73" fillId="0" borderId="0" xfId="0" applyFont="1" applyFill="1" applyBorder="1"/>
    <xf numFmtId="0" fontId="8" fillId="0" borderId="0" xfId="0" applyFont="1" applyFill="1" applyBorder="1"/>
    <xf numFmtId="0" fontId="32" fillId="0" borderId="0" xfId="0" applyFont="1" applyFill="1" applyBorder="1"/>
    <xf numFmtId="0" fontId="70" fillId="0" borderId="0" xfId="0" applyFont="1" applyFill="1" applyBorder="1"/>
    <xf numFmtId="0" fontId="0" fillId="0" borderId="17" xfId="0" applyBorder="1"/>
    <xf numFmtId="170" fontId="74" fillId="0" borderId="0" xfId="55" applyNumberFormat="1" applyFont="1" applyFill="1" applyBorder="1"/>
    <xf numFmtId="38" fontId="4" fillId="0" borderId="0" xfId="0" applyNumberFormat="1" applyFont="1" applyFill="1" applyBorder="1"/>
    <xf numFmtId="190" fontId="4" fillId="0" borderId="0" xfId="0" applyNumberFormat="1" applyFont="1" applyFill="1" applyBorder="1"/>
    <xf numFmtId="4" fontId="71" fillId="0" borderId="0" xfId="0" applyNumberFormat="1" applyFont="1" applyFill="1" applyBorder="1"/>
    <xf numFmtId="0" fontId="4" fillId="53" borderId="18" xfId="0" applyFont="1" applyFill="1" applyBorder="1"/>
    <xf numFmtId="175" fontId="0" fillId="0" borderId="0" xfId="0" applyNumberFormat="1" applyFill="1" applyBorder="1"/>
    <xf numFmtId="0" fontId="27" fillId="0" borderId="0" xfId="0" applyFont="1" applyFill="1" applyBorder="1"/>
    <xf numFmtId="0" fontId="3" fillId="0" borderId="0" xfId="0" applyFont="1" applyFill="1" applyBorder="1"/>
    <xf numFmtId="0" fontId="31" fillId="0" borderId="0" xfId="0" applyFont="1" applyFill="1" applyBorder="1" applyAlignment="1">
      <alignment wrapText="1"/>
    </xf>
    <xf numFmtId="3" fontId="0" fillId="54" borderId="11" xfId="0" applyNumberFormat="1" applyFill="1" applyBorder="1"/>
    <xf numFmtId="0" fontId="0" fillId="0" borderId="11" xfId="0" applyNumberFormat="1" applyBorder="1"/>
    <xf numFmtId="3" fontId="0" fillId="55" borderId="11" xfId="0" applyNumberFormat="1" applyFill="1" applyBorder="1"/>
    <xf numFmtId="190" fontId="0" fillId="55" borderId="19" xfId="0" applyNumberFormat="1" applyFill="1" applyBorder="1"/>
    <xf numFmtId="3" fontId="0" fillId="54" borderId="0" xfId="0" applyNumberFormat="1" applyFill="1" applyBorder="1"/>
    <xf numFmtId="0" fontId="0" fillId="0" borderId="0" xfId="0" applyNumberFormat="1" applyBorder="1"/>
    <xf numFmtId="3" fontId="0" fillId="55" borderId="0" xfId="0" applyNumberFormat="1" applyFill="1" applyBorder="1"/>
    <xf numFmtId="190" fontId="0" fillId="55" borderId="20" xfId="0" applyNumberFormat="1" applyFill="1" applyBorder="1"/>
    <xf numFmtId="0" fontId="0" fillId="0" borderId="14" xfId="0" applyNumberFormat="1" applyBorder="1"/>
    <xf numFmtId="3" fontId="0" fillId="0" borderId="14" xfId="0" applyNumberFormat="1" applyFill="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90"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3" fillId="56" borderId="0" xfId="0" applyFont="1" applyFill="1"/>
    <xf numFmtId="0" fontId="4" fillId="0" borderId="24" xfId="0" applyFont="1" applyBorder="1"/>
    <xf numFmtId="0" fontId="8" fillId="0" borderId="25" xfId="0" applyFont="1" applyBorder="1"/>
    <xf numFmtId="0" fontId="8" fillId="0" borderId="0" xfId="0" applyFont="1"/>
    <xf numFmtId="0" fontId="30" fillId="0" borderId="0" xfId="0" applyFont="1" applyAlignment="1">
      <alignment wrapText="1"/>
    </xf>
    <xf numFmtId="0" fontId="30" fillId="0" borderId="0" xfId="0" applyFont="1" applyFill="1" applyAlignment="1">
      <alignment wrapText="1"/>
    </xf>
    <xf numFmtId="0" fontId="30" fillId="0" borderId="0" xfId="0" applyFont="1" applyBorder="1" applyAlignment="1">
      <alignment wrapText="1"/>
    </xf>
    <xf numFmtId="0" fontId="29" fillId="0" borderId="0" xfId="0" applyFont="1"/>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Border="1" applyAlignment="1">
      <alignment horizontal="right"/>
    </xf>
    <xf numFmtId="4" fontId="0" fillId="57" borderId="0" xfId="0" applyNumberFormat="1" applyFill="1" applyBorder="1"/>
    <xf numFmtId="0" fontId="8" fillId="57" borderId="0" xfId="0" applyFont="1" applyFill="1" applyBorder="1" applyAlignment="1">
      <alignment wrapText="1"/>
    </xf>
    <xf numFmtId="0" fontId="30" fillId="0" borderId="0" xfId="0" applyFont="1" applyAlignment="1">
      <alignment horizontal="center"/>
    </xf>
    <xf numFmtId="0" fontId="29" fillId="0" borderId="0" xfId="0" applyFont="1" applyAlignment="1">
      <alignment wrapText="1"/>
    </xf>
    <xf numFmtId="0" fontId="30" fillId="0" borderId="0" xfId="0" applyFont="1" applyAlignment="1">
      <alignment horizontal="center" wrapText="1"/>
    </xf>
    <xf numFmtId="3"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3" fontId="29" fillId="0" borderId="0" xfId="0" applyNumberFormat="1" applyFont="1" applyFill="1"/>
    <xf numFmtId="0" fontId="29" fillId="0" borderId="0" xfId="0" applyFont="1" applyFill="1" applyAlignment="1">
      <alignment horizontal="right"/>
    </xf>
    <xf numFmtId="0" fontId="29" fillId="0" borderId="0" xfId="0" applyFont="1" applyFill="1" applyAlignment="1">
      <alignment horizontal="center"/>
    </xf>
    <xf numFmtId="3" fontId="30" fillId="0" borderId="0" xfId="0" applyNumberFormat="1" applyFont="1"/>
    <xf numFmtId="3" fontId="30" fillId="0" borderId="0" xfId="0" applyNumberFormat="1" applyFont="1" applyFill="1"/>
    <xf numFmtId="0" fontId="29" fillId="18" borderId="0" xfId="0" applyFont="1" applyFill="1"/>
    <xf numFmtId="4" fontId="29" fillId="18" borderId="0" xfId="0" applyNumberFormat="1" applyFont="1" applyFill="1"/>
    <xf numFmtId="4" fontId="29" fillId="0" borderId="0" xfId="0" applyNumberFormat="1" applyFont="1" applyFill="1"/>
    <xf numFmtId="0" fontId="29" fillId="0" borderId="0" xfId="0" applyFont="1" applyFill="1"/>
    <xf numFmtId="0" fontId="29"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wrapText="1"/>
    </xf>
    <xf numFmtId="3" fontId="30" fillId="0" borderId="0" xfId="0" applyNumberFormat="1" applyFont="1" applyFill="1" applyAlignment="1">
      <alignment wrapText="1"/>
    </xf>
    <xf numFmtId="0" fontId="29" fillId="0" borderId="0" xfId="0" applyFont="1" applyFill="1" applyBorder="1" applyAlignment="1">
      <alignment wrapText="1"/>
    </xf>
    <xf numFmtId="0" fontId="30" fillId="0" borderId="0" xfId="0" applyFont="1" applyFill="1"/>
    <xf numFmtId="3" fontId="75" fillId="0" borderId="0" xfId="0" applyNumberFormat="1" applyFont="1" applyFill="1"/>
    <xf numFmtId="3" fontId="29" fillId="0" borderId="0" xfId="0" applyNumberFormat="1" applyFont="1" applyFill="1" applyBorder="1"/>
    <xf numFmtId="4" fontId="29" fillId="0" borderId="0" xfId="0" applyNumberFormat="1" applyFont="1" applyFill="1" applyAlignment="1">
      <alignment wrapText="1"/>
    </xf>
    <xf numFmtId="0" fontId="29" fillId="0" borderId="0" xfId="0" applyFont="1" applyAlignment="1"/>
    <xf numFmtId="4" fontId="29" fillId="0" borderId="0" xfId="0" applyNumberFormat="1" applyFont="1" applyFill="1" applyAlignment="1">
      <alignment horizontal="right"/>
    </xf>
    <xf numFmtId="3" fontId="30" fillId="0" borderId="0" xfId="0" applyNumberFormat="1" applyFont="1" applyFill="1" applyBorder="1"/>
    <xf numFmtId="0" fontId="76" fillId="0" borderId="0" xfId="0" applyFont="1"/>
    <xf numFmtId="0" fontId="34" fillId="0" borderId="0" xfId="0" applyFont="1" applyFill="1" applyBorder="1" applyAlignment="1">
      <alignment horizontal="center" wrapText="1"/>
    </xf>
    <xf numFmtId="0" fontId="29" fillId="58" borderId="0" xfId="0" applyFont="1" applyFill="1" applyAlignment="1">
      <alignment horizontal="center"/>
    </xf>
    <xf numFmtId="3" fontId="29" fillId="58" borderId="0" xfId="0" applyNumberFormat="1" applyFont="1" applyFill="1"/>
    <xf numFmtId="0" fontId="30" fillId="0" borderId="0" xfId="0" applyFont="1" applyAlignment="1"/>
    <xf numFmtId="0" fontId="8" fillId="0" borderId="0" xfId="0" applyFont="1" applyFill="1" applyBorder="1" applyAlignment="1"/>
    <xf numFmtId="0" fontId="4" fillId="0" borderId="0" xfId="0" applyFont="1" applyFill="1" applyBorder="1" applyAlignment="1"/>
    <xf numFmtId="169" fontId="4" fillId="0" borderId="0" xfId="0" applyNumberFormat="1" applyFont="1" applyFill="1" applyBorder="1" applyAlignment="1"/>
    <xf numFmtId="170" fontId="8" fillId="0" borderId="0" xfId="0" applyNumberFormat="1" applyFont="1"/>
    <xf numFmtId="0" fontId="4" fillId="0" borderId="13" xfId="0" applyFont="1" applyFill="1" applyBorder="1"/>
    <xf numFmtId="0" fontId="4" fillId="0" borderId="17" xfId="0" applyFont="1" applyFill="1" applyBorder="1"/>
    <xf numFmtId="0" fontId="4" fillId="0" borderId="15"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xf numFmtId="0" fontId="4" fillId="0" borderId="26" xfId="0" applyFont="1" applyBorder="1"/>
    <xf numFmtId="2" fontId="4" fillId="0" borderId="0" xfId="0" applyNumberFormat="1" applyFont="1" applyFill="1" applyBorder="1"/>
    <xf numFmtId="0" fontId="2" fillId="0" borderId="0" xfId="0" applyFont="1" applyBorder="1"/>
    <xf numFmtId="0" fontId="8" fillId="0" borderId="0" xfId="0" applyFont="1" applyBorder="1"/>
    <xf numFmtId="0" fontId="4" fillId="0" borderId="0" xfId="0" applyNumberFormat="1" applyFont="1" applyBorder="1"/>
    <xf numFmtId="0" fontId="77" fillId="0" borderId="0" xfId="0" applyFont="1" applyBorder="1"/>
    <xf numFmtId="0" fontId="69" fillId="0" borderId="0" xfId="0" applyFont="1" applyFill="1"/>
    <xf numFmtId="43" fontId="0" fillId="0" borderId="0" xfId="55" applyFont="1" applyFill="1"/>
    <xf numFmtId="0" fontId="69" fillId="0" borderId="0" xfId="0" applyFont="1"/>
    <xf numFmtId="0" fontId="75" fillId="0" borderId="0" xfId="0" applyFont="1" applyFill="1"/>
    <xf numFmtId="0" fontId="75" fillId="0" borderId="0" xfId="0" applyFont="1"/>
    <xf numFmtId="0" fontId="33" fillId="59" borderId="0" xfId="0" applyNumberFormat="1" applyFont="1" applyFill="1" applyBorder="1" applyAlignment="1" applyProtection="1">
      <alignment horizontal="left"/>
    </xf>
    <xf numFmtId="0" fontId="4" fillId="60" borderId="27" xfId="0" applyFont="1" applyFill="1" applyBorder="1"/>
    <xf numFmtId="0" fontId="4" fillId="61" borderId="27" xfId="0" applyFont="1" applyFill="1" applyBorder="1"/>
    <xf numFmtId="0" fontId="4" fillId="60" borderId="24" xfId="0" applyFont="1" applyFill="1" applyBorder="1"/>
    <xf numFmtId="174" fontId="4" fillId="60" borderId="16" xfId="0" applyNumberFormat="1" applyFont="1" applyFill="1" applyBorder="1"/>
    <xf numFmtId="0" fontId="4" fillId="61" borderId="24" xfId="0" applyFont="1" applyFill="1" applyBorder="1"/>
    <xf numFmtId="174" fontId="4" fillId="61" borderId="16" xfId="0" applyNumberFormat="1" applyFont="1" applyFill="1" applyBorder="1"/>
    <xf numFmtId="0" fontId="4" fillId="60" borderId="25" xfId="0" applyFont="1" applyFill="1" applyBorder="1"/>
    <xf numFmtId="174" fontId="4" fillId="60" borderId="28" xfId="0" applyNumberFormat="1" applyFont="1" applyFill="1" applyBorder="1"/>
    <xf numFmtId="2" fontId="75" fillId="0" borderId="0" xfId="0" applyNumberFormat="1" applyFont="1" applyFill="1" applyBorder="1"/>
    <xf numFmtId="0" fontId="75" fillId="0" borderId="0" xfId="0" applyFont="1" applyFill="1" applyBorder="1"/>
    <xf numFmtId="0" fontId="8" fillId="0"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Alignment="1">
      <alignment horizontal="right"/>
    </xf>
    <xf numFmtId="177"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applyBorder="1"/>
    <xf numFmtId="3" fontId="4" fillId="55" borderId="0" xfId="0" applyNumberFormat="1" applyFont="1" applyFill="1" applyBorder="1"/>
    <xf numFmtId="174" fontId="4" fillId="0" borderId="0" xfId="0" applyNumberFormat="1" applyFont="1" applyFill="1"/>
    <xf numFmtId="0" fontId="4" fillId="56" borderId="0" xfId="0" applyFont="1" applyFill="1"/>
    <xf numFmtId="175" fontId="69" fillId="0" borderId="0" xfId="0" applyNumberFormat="1" applyFont="1" applyFill="1" applyBorder="1"/>
    <xf numFmtId="0" fontId="78" fillId="0" borderId="0" xfId="0" applyFont="1" applyFill="1" applyBorder="1"/>
    <xf numFmtId="0" fontId="79" fillId="0" borderId="0" xfId="0" applyFont="1" applyFill="1"/>
    <xf numFmtId="0" fontId="35" fillId="59" borderId="0" xfId="0" applyNumberFormat="1" applyFont="1" applyFill="1" applyBorder="1" applyAlignment="1" applyProtection="1">
      <alignment horizontal="left"/>
    </xf>
    <xf numFmtId="0" fontId="0" fillId="19" borderId="0" xfId="0" applyNumberFormat="1" applyFont="1" applyFill="1" applyBorder="1" applyAlignment="1" applyProtection="1"/>
    <xf numFmtId="0" fontId="36" fillId="63" borderId="16" xfId="0" applyNumberFormat="1" applyFont="1" applyFill="1" applyBorder="1" applyAlignment="1" applyProtection="1">
      <alignment horizontal="center" wrapText="1"/>
    </xf>
    <xf numFmtId="3" fontId="36" fillId="63" borderId="16" xfId="0" applyNumberFormat="1" applyFont="1" applyFill="1" applyBorder="1" applyAlignment="1" applyProtection="1">
      <alignment horizontal="center" wrapText="1"/>
    </xf>
    <xf numFmtId="175" fontId="4" fillId="62" borderId="0" xfId="0" applyNumberFormat="1" applyFont="1" applyFill="1" applyBorder="1"/>
    <xf numFmtId="0" fontId="4" fillId="0" borderId="13" xfId="0" applyFont="1" applyBorder="1"/>
    <xf numFmtId="0" fontId="4" fillId="0" borderId="17" xfId="0" applyFont="1" applyBorder="1"/>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29" fillId="52" borderId="0" xfId="0" applyFont="1" applyFill="1" applyAlignment="1">
      <alignment horizontal="right"/>
    </xf>
    <xf numFmtId="0" fontId="29" fillId="52" borderId="0" xfId="0" applyFont="1" applyFill="1" applyAlignment="1">
      <alignment horizontal="center"/>
    </xf>
    <xf numFmtId="3" fontId="30" fillId="52" borderId="0" xfId="0" applyNumberFormat="1" applyFont="1" applyFill="1" applyAlignment="1">
      <alignment wrapText="1"/>
    </xf>
    <xf numFmtId="0" fontId="69" fillId="0" borderId="0" xfId="0" applyFont="1" applyFill="1" applyBorder="1" applyAlignment="1">
      <alignment horizontal="center"/>
    </xf>
    <xf numFmtId="0" fontId="8" fillId="0" borderId="0" xfId="0" applyFont="1" applyAlignment="1"/>
    <xf numFmtId="0" fontId="29" fillId="0" borderId="0" xfId="0" applyFont="1" applyFill="1" applyBorder="1" applyAlignment="1">
      <alignment horizontal="left"/>
    </xf>
    <xf numFmtId="0" fontId="8" fillId="0" borderId="0" xfId="0" applyFont="1" applyProtection="1">
      <protection locked="0"/>
    </xf>
    <xf numFmtId="0" fontId="4" fillId="0" borderId="0" xfId="0" applyFont="1" applyProtection="1">
      <protection locked="0"/>
    </xf>
    <xf numFmtId="0" fontId="29" fillId="0" borderId="0" xfId="0" applyFont="1" applyAlignment="1" applyProtection="1">
      <alignment horizontal="left"/>
      <protection locked="0"/>
    </xf>
    <xf numFmtId="0" fontId="29" fillId="0" borderId="0" xfId="0" applyFont="1" applyFill="1" applyAlignment="1" applyProtection="1">
      <alignment horizontal="left"/>
      <protection locked="0"/>
    </xf>
    <xf numFmtId="0" fontId="29" fillId="0" borderId="0" xfId="0" applyFont="1" applyFill="1" applyBorder="1" applyAlignment="1" applyProtection="1">
      <alignment horizontal="left"/>
      <protection locked="0"/>
    </xf>
    <xf numFmtId="3" fontId="29" fillId="52" borderId="0" xfId="0" applyNumberFormat="1" applyFont="1" applyFill="1"/>
    <xf numFmtId="0" fontId="3" fillId="0" borderId="16" xfId="0" applyNumberFormat="1" applyFont="1" applyFill="1" applyBorder="1" applyAlignment="1" applyProtection="1">
      <alignment horizontal="lef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14" xfId="0" applyFont="1" applyBorder="1"/>
    <xf numFmtId="0" fontId="4" fillId="0" borderId="14" xfId="0" applyFont="1" applyFill="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70" fontId="69" fillId="0" borderId="0" xfId="55" applyNumberFormat="1" applyFont="1" applyFill="1"/>
    <xf numFmtId="0" fontId="4" fillId="53" borderId="32" xfId="0" applyFont="1" applyFill="1" applyBorder="1"/>
    <xf numFmtId="0" fontId="4" fillId="53" borderId="33" xfId="0" applyFont="1" applyFill="1" applyBorder="1"/>
    <xf numFmtId="0" fontId="4" fillId="53" borderId="34" xfId="0" applyFont="1" applyFill="1" applyBorder="1"/>
    <xf numFmtId="3" fontId="75" fillId="0" borderId="0" xfId="0" applyNumberFormat="1" applyFont="1" applyFill="1" applyAlignment="1">
      <alignment wrapText="1"/>
    </xf>
    <xf numFmtId="0" fontId="5" fillId="64" borderId="16" xfId="0" applyFont="1" applyFill="1" applyBorder="1" applyAlignment="1">
      <alignment vertical="center" wrapText="1"/>
    </xf>
    <xf numFmtId="0" fontId="3" fillId="64" borderId="0" xfId="0" applyNumberFormat="1" applyFont="1" applyFill="1" applyBorder="1" applyAlignment="1" applyProtection="1">
      <alignment horizontal="right" wrapText="1"/>
    </xf>
    <xf numFmtId="3" fontId="0" fillId="64" borderId="11" xfId="0" applyNumberFormat="1" applyFill="1" applyBorder="1"/>
    <xf numFmtId="3" fontId="0" fillId="64" borderId="0" xfId="0" applyNumberFormat="1" applyFill="1" applyBorder="1"/>
    <xf numFmtId="3" fontId="4" fillId="64" borderId="0" xfId="0" applyNumberFormat="1" applyFont="1" applyFill="1" applyBorder="1"/>
    <xf numFmtId="0" fontId="4" fillId="0" borderId="0" xfId="0" applyFont="1" applyAlignment="1" applyProtection="1">
      <alignment wrapText="1"/>
      <protection locked="0"/>
    </xf>
    <xf numFmtId="3" fontId="30" fillId="52" borderId="0" xfId="0" applyNumberFormat="1" applyFont="1" applyFill="1"/>
    <xf numFmtId="0" fontId="80" fillId="0" borderId="0" xfId="0" applyFont="1" applyFill="1"/>
    <xf numFmtId="0" fontId="70" fillId="0" borderId="0" xfId="0" applyFont="1" applyFill="1" applyBorder="1" applyAlignment="1"/>
    <xf numFmtId="0" fontId="30" fillId="0" borderId="0" xfId="0" applyFont="1" applyFill="1" applyAlignment="1">
      <alignment horizontal="center" wrapText="1"/>
    </xf>
    <xf numFmtId="0" fontId="30" fillId="0" borderId="0" xfId="0" applyFont="1" applyBorder="1" applyAlignment="1">
      <alignment horizontal="center" wrapText="1"/>
    </xf>
    <xf numFmtId="0" fontId="29"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70" fontId="4" fillId="0" borderId="0" xfId="55" applyNumberFormat="1" applyFont="1" applyProtection="1">
      <protection locked="0"/>
    </xf>
    <xf numFmtId="0" fontId="79" fillId="0" borderId="0" xfId="0" applyFont="1"/>
    <xf numFmtId="170" fontId="51" fillId="66" borderId="13" xfId="55" applyNumberFormat="1" applyFont="1" applyFill="1" applyBorder="1"/>
    <xf numFmtId="0" fontId="8" fillId="0" borderId="0" xfId="0" applyFont="1" applyFill="1" applyBorder="1" applyAlignment="1">
      <alignment horizontal="left"/>
    </xf>
    <xf numFmtId="0" fontId="8" fillId="0" borderId="0" xfId="0" applyFont="1" applyFill="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8" fillId="0" borderId="21" xfId="0" applyFont="1" applyFill="1" applyBorder="1" applyAlignment="1">
      <alignment horizontal="center" wrapText="1"/>
    </xf>
    <xf numFmtId="0" fontId="4" fillId="0" borderId="19"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69" fillId="0" borderId="20" xfId="0" applyFont="1" applyFill="1" applyBorder="1" applyAlignment="1">
      <alignment horizontal="center" wrapText="1"/>
    </xf>
    <xf numFmtId="0" fontId="8" fillId="0" borderId="0" xfId="0" applyFont="1" applyFill="1" applyBorder="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69" fillId="0" borderId="0" xfId="0" applyFont="1" applyFill="1" applyBorder="1" applyAlignment="1">
      <alignment horizontal="center" wrapText="1"/>
    </xf>
    <xf numFmtId="38" fontId="4" fillId="0" borderId="0" xfId="55" applyNumberFormat="1" applyFont="1" applyFill="1" applyBorder="1" applyAlignment="1">
      <alignment horizontal="center" vertical="center"/>
    </xf>
    <xf numFmtId="0" fontId="69" fillId="0" borderId="0" xfId="0" applyFont="1" applyAlignment="1">
      <alignment horizontal="center" wrapText="1"/>
    </xf>
    <xf numFmtId="0" fontId="8" fillId="0" borderId="11" xfId="0" applyFont="1" applyFill="1" applyBorder="1" applyAlignment="1">
      <alignment horizontal="center" wrapText="1"/>
    </xf>
    <xf numFmtId="0" fontId="8" fillId="0" borderId="19" xfId="0" applyFont="1" applyFill="1" applyBorder="1" applyAlignment="1">
      <alignment horizontal="center" wrapText="1"/>
    </xf>
    <xf numFmtId="0" fontId="4" fillId="0" borderId="0" xfId="0" applyFont="1" applyAlignment="1">
      <alignment horizontal="left"/>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190" fontId="4" fillId="0" borderId="16" xfId="55" applyNumberFormat="1" applyFont="1" applyFill="1" applyBorder="1" applyAlignment="1">
      <alignment horizontal="right" vertical="center"/>
    </xf>
    <xf numFmtId="190" fontId="4" fillId="65" borderId="16" xfId="55" applyNumberFormat="1" applyFont="1" applyFill="1" applyBorder="1" applyAlignment="1">
      <alignment horizontal="right" vertical="center"/>
    </xf>
    <xf numFmtId="190" fontId="8" fillId="0" borderId="16" xfId="55" applyNumberFormat="1" applyFont="1" applyFill="1" applyBorder="1" applyAlignment="1">
      <alignment horizontal="right" vertical="center"/>
    </xf>
    <xf numFmtId="190" fontId="8" fillId="65" borderId="16" xfId="55" applyNumberFormat="1" applyFont="1" applyFill="1" applyBorder="1" applyAlignment="1">
      <alignment horizontal="right" vertical="center"/>
    </xf>
    <xf numFmtId="190" fontId="81" fillId="0" borderId="16" xfId="55" applyNumberFormat="1" applyFont="1" applyFill="1" applyBorder="1" applyAlignment="1">
      <alignment horizontal="right" vertical="center"/>
    </xf>
    <xf numFmtId="190" fontId="81" fillId="65" borderId="16" xfId="55" applyNumberFormat="1" applyFont="1" applyFill="1" applyBorder="1" applyAlignment="1">
      <alignment horizontal="right" vertical="center"/>
    </xf>
    <xf numFmtId="0" fontId="37" fillId="0" borderId="0" xfId="0" applyFont="1"/>
    <xf numFmtId="0" fontId="8" fillId="0" borderId="23" xfId="0" applyFont="1" applyFill="1" applyBorder="1" applyAlignment="1">
      <alignment horizontal="right" wrapText="1"/>
    </xf>
    <xf numFmtId="0" fontId="8" fillId="0" borderId="35" xfId="0" applyFont="1" applyFill="1" applyBorder="1" applyAlignment="1">
      <alignment horizontal="right" wrapText="1"/>
    </xf>
    <xf numFmtId="0" fontId="8" fillId="0" borderId="36" xfId="0" applyFont="1" applyFill="1" applyBorder="1" applyAlignment="1">
      <alignment horizontal="right" wrapText="1"/>
    </xf>
    <xf numFmtId="0" fontId="8" fillId="0" borderId="16" xfId="0" applyFont="1" applyFill="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Border="1" applyAlignment="1">
      <alignment horizontal="right"/>
    </xf>
    <xf numFmtId="4" fontId="0" fillId="58" borderId="0" xfId="0" applyNumberFormat="1" applyFill="1" applyBorder="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Border="1" applyAlignment="1">
      <alignment horizontal="right"/>
    </xf>
    <xf numFmtId="4" fontId="0" fillId="60" borderId="0" xfId="0" applyNumberFormat="1" applyFill="1" applyBorder="1"/>
    <xf numFmtId="0" fontId="8" fillId="60" borderId="0" xfId="0" applyFont="1" applyFill="1" applyBorder="1" applyAlignment="1">
      <alignment wrapText="1"/>
    </xf>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0" fontId="37" fillId="0" borderId="0" xfId="0" applyFont="1" applyFill="1" applyAlignment="1">
      <alignment wrapText="1"/>
    </xf>
    <xf numFmtId="0" fontId="2" fillId="0" borderId="0" xfId="0" applyFont="1"/>
    <xf numFmtId="0" fontId="27" fillId="0" borderId="0" xfId="87" applyFont="1"/>
    <xf numFmtId="0" fontId="39" fillId="0" borderId="0" xfId="0" applyFont="1"/>
    <xf numFmtId="14" fontId="4" fillId="0" borderId="0" xfId="0" applyNumberFormat="1" applyFont="1" applyBorder="1" applyAlignment="1">
      <alignment horizontal="left"/>
    </xf>
    <xf numFmtId="38" fontId="40"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0" fillId="69" borderId="0" xfId="0" applyFill="1"/>
    <xf numFmtId="0" fontId="76" fillId="0" borderId="0" xfId="0" applyFont="1" applyFill="1" applyBorder="1" applyAlignment="1"/>
    <xf numFmtId="0" fontId="82" fillId="0" borderId="0" xfId="0" applyFont="1" applyFill="1" applyBorder="1" applyAlignment="1">
      <alignment horizontal="center" vertical="center"/>
    </xf>
    <xf numFmtId="0" fontId="82" fillId="0" borderId="0" xfId="0" applyFont="1" applyBorder="1" applyAlignment="1">
      <alignment vertical="center" wrapText="1"/>
    </xf>
    <xf numFmtId="0" fontId="76" fillId="0" borderId="0" xfId="0" applyFont="1" applyFill="1" applyBorder="1"/>
    <xf numFmtId="0" fontId="83" fillId="0" borderId="0" xfId="0" applyFont="1" applyFill="1" applyBorder="1"/>
    <xf numFmtId="0" fontId="83" fillId="0" borderId="0" xfId="0" applyFont="1" applyFill="1" applyBorder="1" applyAlignment="1"/>
    <xf numFmtId="0" fontId="76" fillId="0" borderId="0" xfId="0" applyFont="1" applyAlignment="1"/>
    <xf numFmtId="0" fontId="74" fillId="0" borderId="0" xfId="0" applyFont="1" applyFill="1" applyBorder="1" applyAlignment="1"/>
    <xf numFmtId="0" fontId="76" fillId="0" borderId="0" xfId="0" applyFont="1" applyFill="1" applyBorder="1" applyAlignment="1">
      <alignment horizontal="left"/>
    </xf>
    <xf numFmtId="0" fontId="70" fillId="0" borderId="0" xfId="0" applyFont="1" applyFill="1" applyBorder="1" applyAlignment="1">
      <alignment vertical="center" wrapText="1"/>
    </xf>
    <xf numFmtId="0" fontId="70" fillId="0" borderId="0" xfId="0" applyFont="1" applyFill="1" applyBorder="1" applyAlignment="1">
      <alignment horizontal="center" vertical="center"/>
    </xf>
    <xf numFmtId="0" fontId="76" fillId="0" borderId="0" xfId="0" applyFont="1" applyFill="1"/>
    <xf numFmtId="0" fontId="84" fillId="0" borderId="0" xfId="0" applyFont="1" applyFill="1" applyBorder="1" applyAlignment="1">
      <alignment horizontal="left" vertical="center"/>
    </xf>
    <xf numFmtId="0" fontId="84" fillId="0" borderId="0" xfId="0" applyFont="1"/>
    <xf numFmtId="3" fontId="76" fillId="70" borderId="16" xfId="0" applyNumberFormat="1" applyFont="1" applyFill="1" applyBorder="1" applyAlignment="1">
      <alignment horizontal="center"/>
    </xf>
    <xf numFmtId="0" fontId="85" fillId="0" borderId="0" xfId="0" applyFont="1" applyFill="1" applyBorder="1"/>
    <xf numFmtId="0" fontId="86" fillId="0" borderId="0" xfId="0" applyFont="1" applyFill="1" applyBorder="1"/>
    <xf numFmtId="0" fontId="87" fillId="0" borderId="0" xfId="0" applyFont="1" applyFill="1" applyBorder="1" applyAlignment="1">
      <alignment horizontal="left" vertical="center"/>
    </xf>
    <xf numFmtId="3" fontId="88" fillId="0" borderId="0" xfId="0" applyNumberFormat="1" applyFont="1" applyFill="1" applyBorder="1" applyAlignment="1">
      <alignment horizontal="left"/>
    </xf>
    <xf numFmtId="3" fontId="89" fillId="0" borderId="0" xfId="0" applyNumberFormat="1" applyFont="1" applyFill="1" applyBorder="1" applyAlignment="1">
      <alignment horizontal="right"/>
    </xf>
    <xf numFmtId="0" fontId="90" fillId="0" borderId="0" xfId="0" applyFont="1" applyFill="1" applyBorder="1" applyAlignment="1">
      <alignment horizontal="left" vertical="center"/>
    </xf>
    <xf numFmtId="43" fontId="78" fillId="0" borderId="0" xfId="55" applyFont="1" applyFill="1" applyBorder="1"/>
    <xf numFmtId="14" fontId="76" fillId="0" borderId="0" xfId="0" applyNumberFormat="1" applyFont="1" applyFill="1" applyAlignment="1">
      <alignment horizontal="left"/>
    </xf>
    <xf numFmtId="0" fontId="90" fillId="0" borderId="37" xfId="0" applyFont="1" applyFill="1" applyBorder="1" applyAlignment="1">
      <alignment horizontal="center" vertical="center"/>
    </xf>
    <xf numFmtId="43" fontId="91" fillId="0" borderId="0" xfId="55" applyFont="1" applyFill="1" applyBorder="1" applyAlignment="1">
      <alignment horizontal="center" vertical="center" wrapText="1"/>
    </xf>
    <xf numFmtId="0" fontId="84" fillId="0" borderId="0" xfId="0" applyFont="1" applyFill="1" applyBorder="1"/>
    <xf numFmtId="3" fontId="92" fillId="0" borderId="0" xfId="0" applyNumberFormat="1" applyFont="1" applyFill="1" applyBorder="1" applyAlignment="1">
      <alignment horizontal="center" vertical="center"/>
    </xf>
    <xf numFmtId="0" fontId="93" fillId="0" borderId="0" xfId="0" applyFont="1" applyFill="1" applyBorder="1" applyAlignment="1">
      <alignment horizontal="center" vertical="center"/>
    </xf>
    <xf numFmtId="3" fontId="88" fillId="0" borderId="0" xfId="0" applyNumberFormat="1" applyFont="1" applyFill="1" applyBorder="1" applyAlignment="1">
      <alignment horizontal="center" vertical="center"/>
    </xf>
    <xf numFmtId="0" fontId="76" fillId="0" borderId="24" xfId="0" applyFont="1" applyFill="1" applyBorder="1"/>
    <xf numFmtId="0" fontId="76" fillId="0" borderId="23" xfId="0" applyFont="1" applyFill="1" applyBorder="1" applyAlignment="1">
      <alignment horizontal="center" wrapText="1"/>
    </xf>
    <xf numFmtId="0" fontId="76" fillId="0" borderId="26" xfId="0" applyFont="1" applyFill="1" applyBorder="1" applyAlignment="1"/>
    <xf numFmtId="0" fontId="90" fillId="0" borderId="0" xfId="0" applyFont="1" applyFill="1" applyBorder="1" applyAlignment="1">
      <alignment horizontal="center" vertical="center"/>
    </xf>
    <xf numFmtId="0" fontId="76" fillId="0" borderId="0" xfId="0" applyFont="1" applyFill="1" applyBorder="1" applyAlignment="1">
      <alignment wrapText="1"/>
    </xf>
    <xf numFmtId="170" fontId="78" fillId="0" borderId="0" xfId="55" applyNumberFormat="1" applyFont="1" applyFill="1" applyBorder="1" applyAlignment="1">
      <alignment horizontal="center" vertical="center"/>
    </xf>
    <xf numFmtId="3" fontId="76" fillId="0" borderId="0" xfId="0" applyNumberFormat="1" applyFont="1" applyFill="1" applyBorder="1"/>
    <xf numFmtId="3" fontId="94" fillId="0" borderId="0" xfId="0" applyNumberFormat="1" applyFont="1" applyFill="1" applyBorder="1" applyAlignment="1">
      <alignment horizontal="right" vertical="center"/>
    </xf>
    <xf numFmtId="0" fontId="76" fillId="0" borderId="25" xfId="0" applyFont="1" applyFill="1" applyBorder="1"/>
    <xf numFmtId="0" fontId="76" fillId="0" borderId="38" xfId="0" applyFont="1" applyFill="1" applyBorder="1" applyAlignment="1"/>
    <xf numFmtId="0" fontId="76" fillId="0" borderId="0" xfId="0" applyFont="1" applyFill="1" applyBorder="1" applyAlignment="1">
      <alignment vertical="center"/>
    </xf>
    <xf numFmtId="0" fontId="76" fillId="0" borderId="0" xfId="0" applyFont="1" applyBorder="1"/>
    <xf numFmtId="0" fontId="74" fillId="0" borderId="29" xfId="0" applyFont="1" applyFill="1" applyBorder="1"/>
    <xf numFmtId="0" fontId="76" fillId="0" borderId="39" xfId="0" applyFont="1" applyFill="1" applyBorder="1"/>
    <xf numFmtId="0" fontId="95" fillId="0" borderId="39" xfId="0" applyFont="1" applyFill="1" applyBorder="1"/>
    <xf numFmtId="0" fontId="76" fillId="0" borderId="39" xfId="0" applyFont="1" applyBorder="1"/>
    <xf numFmtId="0" fontId="84" fillId="0" borderId="39" xfId="0" applyFont="1" applyBorder="1"/>
    <xf numFmtId="0" fontId="76" fillId="0" borderId="40" xfId="0" applyFont="1" applyBorder="1"/>
    <xf numFmtId="0" fontId="96" fillId="0" borderId="29" xfId="0" applyFont="1" applyBorder="1"/>
    <xf numFmtId="0" fontId="84" fillId="0" borderId="0" xfId="0" applyFont="1" applyBorder="1"/>
    <xf numFmtId="0" fontId="76" fillId="0" borderId="26" xfId="0" applyFont="1" applyBorder="1"/>
    <xf numFmtId="0" fontId="74" fillId="0" borderId="24" xfId="0" applyFont="1" applyBorder="1"/>
    <xf numFmtId="3" fontId="84" fillId="0" borderId="0" xfId="0" applyNumberFormat="1" applyFont="1"/>
    <xf numFmtId="0" fontId="76" fillId="0" borderId="24" xfId="0" applyFont="1" applyBorder="1"/>
    <xf numFmtId="0" fontId="96" fillId="0" borderId="16" xfId="0" applyFont="1" applyBorder="1"/>
    <xf numFmtId="0" fontId="76" fillId="0" borderId="16" xfId="0" applyFont="1" applyBorder="1"/>
    <xf numFmtId="0" fontId="96" fillId="0" borderId="17" xfId="0" applyFont="1" applyBorder="1"/>
    <xf numFmtId="0" fontId="96" fillId="0" borderId="21" xfId="0" applyFont="1" applyBorder="1"/>
    <xf numFmtId="0" fontId="76" fillId="0" borderId="21" xfId="0" applyFont="1" applyBorder="1"/>
    <xf numFmtId="0" fontId="76" fillId="0" borderId="22" xfId="0" applyFont="1" applyBorder="1"/>
    <xf numFmtId="0" fontId="96" fillId="0" borderId="26" xfId="0" applyFont="1" applyBorder="1" applyAlignment="1"/>
    <xf numFmtId="0" fontId="96" fillId="0" borderId="0" xfId="0" applyFont="1" applyBorder="1"/>
    <xf numFmtId="0" fontId="78" fillId="0" borderId="41" xfId="0" applyFont="1" applyFill="1" applyBorder="1" applyAlignment="1">
      <alignment wrapText="1"/>
    </xf>
    <xf numFmtId="0" fontId="78" fillId="0" borderId="42" xfId="0" applyFont="1" applyFill="1" applyBorder="1" applyAlignment="1">
      <alignment wrapText="1"/>
    </xf>
    <xf numFmtId="0" fontId="78" fillId="0" borderId="43" xfId="0" applyFont="1" applyFill="1" applyBorder="1" applyAlignment="1">
      <alignment wrapText="1"/>
    </xf>
    <xf numFmtId="0" fontId="78" fillId="0" borderId="39" xfId="0" applyFont="1" applyFill="1" applyBorder="1" applyAlignment="1">
      <alignment wrapText="1"/>
    </xf>
    <xf numFmtId="0" fontId="78" fillId="0" borderId="44" xfId="0" applyFont="1" applyFill="1" applyBorder="1" applyAlignment="1">
      <alignment wrapText="1"/>
    </xf>
    <xf numFmtId="0" fontId="78" fillId="0" borderId="45" xfId="0" applyFont="1" applyFill="1" applyBorder="1" applyAlignment="1">
      <alignment wrapText="1"/>
    </xf>
    <xf numFmtId="0" fontId="78" fillId="0" borderId="15" xfId="0" applyFont="1" applyFill="1" applyBorder="1" applyAlignment="1">
      <alignment wrapText="1"/>
    </xf>
    <xf numFmtId="0" fontId="78" fillId="0" borderId="35" xfId="0" applyFont="1" applyFill="1" applyBorder="1" applyAlignment="1">
      <alignment wrapText="1"/>
    </xf>
    <xf numFmtId="0" fontId="78" fillId="0" borderId="46" xfId="0" applyFont="1" applyFill="1" applyBorder="1" applyAlignment="1">
      <alignment wrapText="1"/>
    </xf>
    <xf numFmtId="0" fontId="78" fillId="0" borderId="47" xfId="0" applyFont="1" applyFill="1" applyBorder="1" applyAlignment="1">
      <alignment wrapText="1"/>
    </xf>
    <xf numFmtId="0" fontId="78" fillId="0" borderId="48" xfId="0" applyFont="1" applyFill="1" applyBorder="1" applyAlignment="1">
      <alignment wrapText="1"/>
    </xf>
    <xf numFmtId="0" fontId="78" fillId="0" borderId="24" xfId="0" applyFont="1" applyFill="1" applyBorder="1" applyAlignment="1">
      <alignment wrapText="1"/>
    </xf>
    <xf numFmtId="0" fontId="78" fillId="0" borderId="16" xfId="0" applyFont="1" applyFill="1" applyBorder="1" applyAlignment="1">
      <alignment wrapText="1"/>
    </xf>
    <xf numFmtId="0" fontId="78" fillId="0" borderId="0" xfId="0" applyFont="1" applyFill="1" applyBorder="1" applyAlignment="1">
      <alignment wrapText="1"/>
    </xf>
    <xf numFmtId="0" fontId="76" fillId="0" borderId="26" xfId="0" applyFont="1" applyFill="1" applyBorder="1"/>
    <xf numFmtId="0" fontId="78" fillId="0" borderId="23" xfId="0" applyFont="1" applyFill="1" applyBorder="1" applyAlignment="1">
      <alignment wrapText="1"/>
    </xf>
    <xf numFmtId="0" fontId="78" fillId="0" borderId="36" xfId="0" applyFont="1" applyFill="1" applyBorder="1" applyAlignment="1">
      <alignment wrapText="1"/>
    </xf>
    <xf numFmtId="0" fontId="78" fillId="0" borderId="12" xfId="0" applyFont="1" applyFill="1" applyBorder="1" applyAlignment="1">
      <alignment wrapText="1"/>
    </xf>
    <xf numFmtId="0" fontId="78" fillId="0" borderId="26" xfId="0" applyFont="1" applyFill="1" applyBorder="1" applyAlignment="1">
      <alignment wrapText="1"/>
    </xf>
    <xf numFmtId="3" fontId="76" fillId="0" borderId="0" xfId="0" applyNumberFormat="1" applyFont="1" applyFill="1"/>
    <xf numFmtId="3" fontId="76" fillId="0" borderId="24" xfId="0" applyNumberFormat="1" applyFont="1" applyBorder="1"/>
    <xf numFmtId="0" fontId="76" fillId="0" borderId="49" xfId="0" applyFont="1" applyBorder="1"/>
    <xf numFmtId="3" fontId="76" fillId="20" borderId="50" xfId="0" quotePrefix="1" applyNumberFormat="1" applyFont="1" applyFill="1" applyBorder="1"/>
    <xf numFmtId="3" fontId="76" fillId="20" borderId="28" xfId="0" quotePrefix="1" applyNumberFormat="1" applyFont="1" applyFill="1" applyBorder="1"/>
    <xf numFmtId="3" fontId="76" fillId="20" borderId="16" xfId="0" quotePrefix="1" applyNumberFormat="1" applyFont="1" applyFill="1" applyBorder="1"/>
    <xf numFmtId="3" fontId="76" fillId="0" borderId="51" xfId="0" applyNumberFormat="1" applyFont="1" applyFill="1" applyBorder="1" applyAlignment="1">
      <alignment horizontal="right"/>
    </xf>
    <xf numFmtId="3" fontId="76" fillId="20" borderId="52" xfId="0" quotePrefix="1" applyNumberFormat="1" applyFont="1" applyFill="1" applyBorder="1"/>
    <xf numFmtId="3" fontId="76" fillId="20" borderId="53" xfId="0" quotePrefix="1" applyNumberFormat="1" applyFont="1" applyFill="1" applyBorder="1"/>
    <xf numFmtId="4" fontId="76" fillId="20" borderId="54" xfId="0" quotePrefix="1" applyNumberFormat="1" applyFont="1" applyFill="1" applyBorder="1"/>
    <xf numFmtId="3" fontId="76" fillId="20" borderId="55" xfId="0" quotePrefix="1" applyNumberFormat="1" applyFont="1" applyFill="1" applyBorder="1"/>
    <xf numFmtId="3" fontId="76" fillId="0" borderId="50" xfId="0" applyNumberFormat="1" applyFont="1" applyFill="1" applyBorder="1"/>
    <xf numFmtId="3" fontId="76" fillId="0" borderId="28" xfId="0" applyNumberFormat="1" applyFont="1" applyFill="1" applyBorder="1"/>
    <xf numFmtId="3" fontId="76" fillId="0" borderId="55" xfId="0" applyNumberFormat="1" applyFont="1" applyFill="1" applyBorder="1"/>
    <xf numFmtId="3" fontId="76" fillId="0" borderId="56" xfId="0" applyNumberFormat="1" applyFont="1" applyFill="1" applyBorder="1"/>
    <xf numFmtId="3" fontId="76" fillId="0" borderId="49" xfId="0" applyNumberFormat="1" applyFont="1" applyFill="1" applyBorder="1"/>
    <xf numFmtId="3" fontId="76" fillId="70" borderId="52" xfId="0" applyNumberFormat="1" applyFont="1" applyFill="1" applyBorder="1" applyAlignment="1">
      <alignment horizontal="center"/>
    </xf>
    <xf numFmtId="3" fontId="76" fillId="20" borderId="16" xfId="0" applyNumberFormat="1" applyFont="1" applyFill="1" applyBorder="1" applyAlignment="1">
      <alignment horizontal="right"/>
    </xf>
    <xf numFmtId="3" fontId="76" fillId="0" borderId="16" xfId="0" applyNumberFormat="1" applyFont="1" applyFill="1" applyBorder="1" applyAlignment="1">
      <alignment horizontal="right"/>
    </xf>
    <xf numFmtId="3" fontId="76" fillId="0" borderId="16" xfId="0" applyNumberFormat="1" applyFont="1" applyFill="1" applyBorder="1"/>
    <xf numFmtId="3" fontId="76" fillId="20" borderId="22" xfId="0" quotePrefix="1" applyNumberFormat="1" applyFont="1" applyFill="1" applyBorder="1"/>
    <xf numFmtId="170" fontId="76" fillId="20" borderId="16" xfId="55" applyNumberFormat="1" applyFont="1" applyFill="1" applyBorder="1"/>
    <xf numFmtId="170" fontId="76" fillId="20" borderId="16" xfId="55" applyNumberFormat="1" applyFont="1" applyFill="1" applyBorder="1" applyAlignment="1">
      <alignment horizontal="right"/>
    </xf>
    <xf numFmtId="3" fontId="76" fillId="20" borderId="16" xfId="0" applyNumberFormat="1" applyFont="1" applyFill="1" applyBorder="1"/>
    <xf numFmtId="3" fontId="76" fillId="70" borderId="17" xfId="0" applyNumberFormat="1" applyFont="1" applyFill="1" applyBorder="1"/>
    <xf numFmtId="3" fontId="76" fillId="0" borderId="26" xfId="0" applyNumberFormat="1" applyFont="1" applyFill="1" applyBorder="1"/>
    <xf numFmtId="3" fontId="76" fillId="0" borderId="0" xfId="0" applyNumberFormat="1" applyFont="1"/>
    <xf numFmtId="3" fontId="76" fillId="0" borderId="0" xfId="0" applyNumberFormat="1" applyFont="1" applyBorder="1"/>
    <xf numFmtId="177" fontId="76" fillId="0" borderId="0" xfId="0" applyNumberFormat="1" applyFont="1" applyBorder="1"/>
    <xf numFmtId="0" fontId="76" fillId="0" borderId="25" xfId="0" applyFont="1" applyBorder="1"/>
    <xf numFmtId="0" fontId="76" fillId="0" borderId="57" xfId="0" applyFont="1" applyBorder="1"/>
    <xf numFmtId="0" fontId="76" fillId="0" borderId="57" xfId="0" applyFont="1" applyFill="1" applyBorder="1"/>
    <xf numFmtId="3" fontId="76" fillId="0" borderId="57" xfId="0" applyNumberFormat="1" applyFont="1" applyBorder="1"/>
    <xf numFmtId="0" fontId="76" fillId="0" borderId="38" xfId="0" applyFont="1" applyBorder="1"/>
    <xf numFmtId="0" fontId="84" fillId="0" borderId="57" xfId="0" applyFont="1" applyBorder="1"/>
    <xf numFmtId="3" fontId="97" fillId="0" borderId="0" xfId="0" applyNumberFormat="1" applyFont="1"/>
    <xf numFmtId="179" fontId="76" fillId="0" borderId="0" xfId="0" applyNumberFormat="1" applyFont="1"/>
    <xf numFmtId="168" fontId="76" fillId="0" borderId="0" xfId="0" applyNumberFormat="1" applyFont="1"/>
    <xf numFmtId="1" fontId="76" fillId="0" borderId="0" xfId="0" applyNumberFormat="1" applyFont="1"/>
    <xf numFmtId="2" fontId="76" fillId="0" borderId="0" xfId="0" applyNumberFormat="1" applyFont="1"/>
    <xf numFmtId="2" fontId="89" fillId="0" borderId="0" xfId="0" applyNumberFormat="1" applyFont="1" applyFill="1" applyBorder="1"/>
    <xf numFmtId="0" fontId="87" fillId="0" borderId="0" xfId="0" applyFont="1" applyBorder="1"/>
    <xf numFmtId="38" fontId="76" fillId="0" borderId="0" xfId="0" applyNumberFormat="1" applyFont="1"/>
    <xf numFmtId="2" fontId="76" fillId="0" borderId="0" xfId="0" applyNumberFormat="1" applyFont="1" applyBorder="1"/>
    <xf numFmtId="0" fontId="96" fillId="0" borderId="0" xfId="0" applyFont="1" applyBorder="1" applyAlignment="1">
      <alignment horizontal="center" vertical="center" wrapText="1"/>
    </xf>
    <xf numFmtId="0" fontId="76" fillId="0" borderId="23" xfId="0" applyFont="1" applyBorder="1"/>
    <xf numFmtId="0" fontId="96" fillId="0" borderId="16" xfId="0" applyFont="1" applyFill="1" applyBorder="1"/>
    <xf numFmtId="0" fontId="76" fillId="0" borderId="16" xfId="0" applyFont="1" applyFill="1" applyBorder="1"/>
    <xf numFmtId="2" fontId="76" fillId="0" borderId="0" xfId="0" applyNumberFormat="1" applyFont="1" applyFill="1" applyBorder="1"/>
    <xf numFmtId="3" fontId="76" fillId="20" borderId="49" xfId="0" quotePrefix="1" applyNumberFormat="1" applyFont="1" applyFill="1" applyBorder="1"/>
    <xf numFmtId="4" fontId="76" fillId="20" borderId="28" xfId="0" quotePrefix="1" applyNumberFormat="1" applyFont="1" applyFill="1" applyBorder="1"/>
    <xf numFmtId="0" fontId="98" fillId="0" borderId="57" xfId="0" applyFont="1" applyFill="1" applyBorder="1" applyAlignment="1">
      <alignment wrapText="1"/>
    </xf>
    <xf numFmtId="3" fontId="76" fillId="0" borderId="58" xfId="0" quotePrefix="1" applyNumberFormat="1" applyFont="1" applyFill="1" applyBorder="1"/>
    <xf numFmtId="179" fontId="76" fillId="0" borderId="57" xfId="0" applyNumberFormat="1" applyFont="1" applyBorder="1"/>
    <xf numFmtId="38" fontId="76" fillId="0" borderId="57" xfId="0" applyNumberFormat="1" applyFont="1" applyBorder="1"/>
    <xf numFmtId="0" fontId="99" fillId="0" borderId="57" xfId="0" applyFont="1" applyBorder="1" applyAlignment="1">
      <alignment horizontal="center"/>
    </xf>
    <xf numFmtId="0" fontId="93" fillId="0" borderId="0" xfId="0" applyFont="1" applyFill="1" applyBorder="1" applyAlignment="1">
      <alignment horizontal="left" vertical="center"/>
    </xf>
    <xf numFmtId="3" fontId="84" fillId="0" borderId="0" xfId="0" applyNumberFormat="1" applyFont="1" applyFill="1" applyBorder="1" applyAlignment="1">
      <alignment horizontal="center" vertical="center"/>
    </xf>
    <xf numFmtId="0" fontId="76" fillId="0" borderId="0" xfId="0" applyFont="1" applyFill="1" applyBorder="1" applyAlignment="1">
      <alignment horizontal="center" vertical="center"/>
    </xf>
    <xf numFmtId="3" fontId="92" fillId="0" borderId="0" xfId="0" applyNumberFormat="1" applyFont="1" applyFill="1" applyBorder="1" applyAlignment="1">
      <alignment horizontal="left"/>
    </xf>
    <xf numFmtId="0" fontId="93" fillId="0" borderId="0" xfId="0" applyFont="1" applyFill="1" applyBorder="1" applyAlignment="1">
      <alignment horizontal="center" vertical="center" wrapText="1"/>
    </xf>
    <xf numFmtId="3" fontId="92" fillId="0" borderId="0" xfId="0" applyNumberFormat="1" applyFont="1" applyFill="1" applyBorder="1" applyAlignment="1">
      <alignment horizontal="center" vertical="center" wrapText="1"/>
    </xf>
    <xf numFmtId="38" fontId="78" fillId="0" borderId="0" xfId="55" applyNumberFormat="1" applyFont="1" applyFill="1" applyBorder="1" applyAlignment="1">
      <alignment horizontal="center" vertical="center"/>
    </xf>
    <xf numFmtId="179" fontId="76" fillId="0" borderId="0" xfId="0" applyNumberFormat="1" applyFont="1" applyFill="1" applyBorder="1"/>
    <xf numFmtId="170" fontId="76" fillId="0" borderId="0" xfId="55" applyNumberFormat="1" applyFont="1"/>
    <xf numFmtId="0" fontId="78" fillId="0" borderId="0" xfId="0" applyFont="1" applyFill="1" applyBorder="1" applyAlignment="1">
      <alignment horizontal="center" vertical="center"/>
    </xf>
    <xf numFmtId="3" fontId="78" fillId="0" borderId="0" xfId="0" applyNumberFormat="1" applyFont="1" applyFill="1" applyBorder="1" applyAlignment="1">
      <alignment horizontal="center" vertical="center"/>
    </xf>
    <xf numFmtId="38" fontId="78" fillId="0" borderId="0" xfId="0" applyNumberFormat="1" applyFont="1" applyFill="1" applyBorder="1" applyAlignment="1">
      <alignment horizontal="center"/>
    </xf>
    <xf numFmtId="38" fontId="76" fillId="0" borderId="0" xfId="0" applyNumberFormat="1" applyFont="1" applyFill="1" applyBorder="1"/>
    <xf numFmtId="0" fontId="90" fillId="0" borderId="23" xfId="0" applyFont="1" applyFill="1" applyBorder="1" applyAlignment="1">
      <alignment horizontal="center" wrapText="1"/>
    </xf>
    <xf numFmtId="0" fontId="43" fillId="0" borderId="0" xfId="87" applyFont="1"/>
    <xf numFmtId="0" fontId="6" fillId="0" borderId="0" xfId="76" applyFont="1" applyBorder="1" applyAlignment="1" applyProtection="1"/>
    <xf numFmtId="0" fontId="43" fillId="0" borderId="0" xfId="87" applyFont="1" applyBorder="1"/>
    <xf numFmtId="0" fontId="28" fillId="0" borderId="29" xfId="87" applyFont="1" applyBorder="1" applyAlignment="1">
      <alignment horizontal="left"/>
    </xf>
    <xf numFmtId="0" fontId="28" fillId="0" borderId="39" xfId="87" applyFont="1" applyBorder="1" applyAlignment="1">
      <alignment horizontal="right"/>
    </xf>
    <xf numFmtId="0" fontId="28" fillId="0" borderId="39" xfId="87" applyFont="1" applyBorder="1" applyAlignment="1">
      <alignment horizontal="left"/>
    </xf>
    <xf numFmtId="0" fontId="3" fillId="0" borderId="39" xfId="87" applyFont="1" applyBorder="1"/>
    <xf numFmtId="0" fontId="3" fillId="0" borderId="40" xfId="87" applyFont="1" applyBorder="1"/>
    <xf numFmtId="14" fontId="8" fillId="0" borderId="24" xfId="87" applyNumberFormat="1" applyFont="1" applyBorder="1" applyAlignment="1">
      <alignment horizontal="left"/>
    </xf>
    <xf numFmtId="9" fontId="3" fillId="0" borderId="0" xfId="87" applyNumberFormat="1" applyFont="1" applyBorder="1" applyAlignment="1">
      <alignment horizontal="left"/>
    </xf>
    <xf numFmtId="0" fontId="3" fillId="0" borderId="0" xfId="87" applyFont="1"/>
    <xf numFmtId="9" fontId="3" fillId="0" borderId="0" xfId="87" applyNumberFormat="1" applyFont="1" applyBorder="1" applyAlignment="1">
      <alignment horizontal="right"/>
    </xf>
    <xf numFmtId="0" fontId="3" fillId="0" borderId="0" xfId="87" applyFont="1" applyBorder="1" applyAlignment="1">
      <alignment horizontal="right"/>
    </xf>
    <xf numFmtId="9" fontId="69" fillId="0" borderId="0" xfId="87" applyNumberFormat="1" applyFont="1" applyBorder="1" applyAlignment="1">
      <alignment horizontal="left"/>
    </xf>
    <xf numFmtId="0" fontId="3" fillId="0" borderId="0" xfId="87" quotePrefix="1" applyFont="1" applyBorder="1"/>
    <xf numFmtId="0" fontId="3" fillId="0" borderId="26" xfId="87" applyFont="1" applyBorder="1"/>
    <xf numFmtId="22" fontId="28" fillId="0" borderId="24" xfId="87" applyNumberFormat="1" applyFont="1" applyBorder="1" applyAlignment="1">
      <alignment horizontal="left"/>
    </xf>
    <xf numFmtId="0" fontId="28" fillId="0" borderId="0" xfId="87" applyFont="1" applyBorder="1" applyAlignment="1"/>
    <xf numFmtId="0" fontId="8" fillId="0" borderId="0" xfId="87" applyFont="1" applyBorder="1" applyAlignment="1"/>
    <xf numFmtId="0" fontId="3" fillId="0" borderId="0" xfId="87" applyFont="1" applyBorder="1"/>
    <xf numFmtId="0" fontId="3" fillId="0" borderId="24" xfId="87" applyFont="1" applyBorder="1"/>
    <xf numFmtId="0" fontId="28" fillId="0" borderId="0" xfId="87" applyFont="1" applyBorder="1" applyAlignment="1">
      <alignment horizontal="center"/>
    </xf>
    <xf numFmtId="0" fontId="4" fillId="0" borderId="24" xfId="87" applyFont="1" applyBorder="1" applyAlignment="1">
      <alignment horizontal="right"/>
    </xf>
    <xf numFmtId="3" fontId="4" fillId="0" borderId="0" xfId="87" applyNumberFormat="1" applyFont="1" applyFill="1" applyBorder="1"/>
    <xf numFmtId="3" fontId="79" fillId="0" borderId="0" xfId="87" applyNumberFormat="1" applyFont="1" applyBorder="1"/>
    <xf numFmtId="9" fontId="28" fillId="0" borderId="0" xfId="87" applyNumberFormat="1" applyFont="1" applyBorder="1"/>
    <xf numFmtId="0" fontId="28" fillId="0" borderId="0" xfId="87" applyFont="1" applyBorder="1"/>
    <xf numFmtId="0" fontId="3" fillId="0" borderId="0" xfId="87" applyFont="1" applyFill="1" applyBorder="1"/>
    <xf numFmtId="0" fontId="28" fillId="0" borderId="0" xfId="87" applyFont="1" applyBorder="1" applyAlignment="1">
      <alignment horizontal="right" wrapText="1"/>
    </xf>
    <xf numFmtId="0" fontId="4" fillId="0" borderId="0" xfId="87" applyFont="1" applyFill="1" applyBorder="1"/>
    <xf numFmtId="0" fontId="8" fillId="0" borderId="0" xfId="87" applyFont="1" applyBorder="1" applyAlignment="1">
      <alignment horizontal="right"/>
    </xf>
    <xf numFmtId="0" fontId="28" fillId="0" borderId="0" xfId="87" applyFont="1" applyBorder="1" applyAlignment="1">
      <alignment horizontal="left"/>
    </xf>
    <xf numFmtId="3" fontId="69" fillId="0" borderId="0" xfId="87" applyNumberFormat="1" applyFont="1" applyBorder="1"/>
    <xf numFmtId="0" fontId="28" fillId="71" borderId="0" xfId="87" applyFont="1" applyFill="1" applyBorder="1"/>
    <xf numFmtId="0" fontId="28" fillId="0" borderId="0" xfId="87" applyFont="1" applyFill="1" applyBorder="1"/>
    <xf numFmtId="0" fontId="28" fillId="57" borderId="0" xfId="87" applyFont="1" applyFill="1" applyBorder="1"/>
    <xf numFmtId="3" fontId="4" fillId="71" borderId="0" xfId="87" applyNumberFormat="1" applyFont="1" applyFill="1" applyBorder="1"/>
    <xf numFmtId="3" fontId="4" fillId="57" borderId="0" xfId="87" applyNumberFormat="1" applyFont="1" applyFill="1" applyBorder="1"/>
    <xf numFmtId="0" fontId="8" fillId="0" borderId="0" xfId="0" applyFont="1" applyBorder="1" applyAlignment="1">
      <alignment horizontal="left"/>
    </xf>
    <xf numFmtId="0" fontId="4" fillId="0" borderId="24" xfId="87" applyFont="1" applyBorder="1"/>
    <xf numFmtId="14" fontId="3" fillId="0" borderId="0" xfId="87" applyNumberFormat="1" applyFont="1" applyBorder="1"/>
    <xf numFmtId="0" fontId="3" fillId="71" borderId="0" xfId="87" applyFont="1" applyFill="1" applyBorder="1"/>
    <xf numFmtId="0" fontId="100" fillId="71" borderId="0" xfId="87" applyFont="1" applyFill="1" applyBorder="1"/>
    <xf numFmtId="0" fontId="3" fillId="0" borderId="25" xfId="87" applyFont="1" applyBorder="1"/>
    <xf numFmtId="0" fontId="100" fillId="0" borderId="57" xfId="87" applyFont="1" applyBorder="1"/>
    <xf numFmtId="0" fontId="3" fillId="0" borderId="57" xfId="87" applyFont="1" applyFill="1" applyBorder="1"/>
    <xf numFmtId="0" fontId="3" fillId="0" borderId="57" xfId="87" applyFont="1" applyBorder="1"/>
    <xf numFmtId="0" fontId="3" fillId="0" borderId="38" xfId="87" applyFont="1" applyBorder="1"/>
    <xf numFmtId="0" fontId="3" fillId="0" borderId="39" xfId="87" applyFont="1" applyFill="1" applyBorder="1"/>
    <xf numFmtId="0" fontId="28" fillId="0" borderId="57" xfId="87" applyFont="1" applyBorder="1"/>
    <xf numFmtId="3" fontId="3" fillId="0" borderId="37" xfId="87" applyNumberFormat="1" applyFont="1" applyBorder="1"/>
    <xf numFmtId="0" fontId="8" fillId="0" borderId="0" xfId="87" applyFont="1" applyBorder="1" applyAlignment="1">
      <alignment horizontal="left"/>
    </xf>
    <xf numFmtId="0" fontId="28" fillId="0" borderId="0" xfId="87" applyFont="1" applyFill="1" applyBorder="1" applyAlignment="1">
      <alignment horizontal="left"/>
    </xf>
    <xf numFmtId="0" fontId="4" fillId="65" borderId="19" xfId="0" applyFont="1" applyFill="1" applyBorder="1" applyAlignment="1">
      <alignment horizontal="center" wrapText="1"/>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90"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179" fontId="4" fillId="0" borderId="0" xfId="0" applyNumberFormat="1" applyFont="1" applyFill="1" applyBorder="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Fill="1" applyBorder="1" applyAlignment="1">
      <alignment horizontal="center"/>
    </xf>
    <xf numFmtId="38" fontId="4" fillId="0" borderId="0" xfId="0" applyNumberFormat="1" applyFont="1"/>
    <xf numFmtId="0" fontId="45" fillId="58" borderId="16" xfId="0" applyFont="1" applyFill="1" applyBorder="1" applyAlignment="1">
      <alignment horizontal="center" vertical="center"/>
    </xf>
    <xf numFmtId="0" fontId="4" fillId="0" borderId="16" xfId="0" applyFont="1" applyFill="1" applyBorder="1"/>
    <xf numFmtId="0" fontId="4" fillId="0" borderId="29" xfId="0" applyFont="1" applyBorder="1"/>
    <xf numFmtId="0" fontId="4" fillId="0" borderId="39" xfId="0" applyFont="1" applyBorder="1"/>
    <xf numFmtId="0" fontId="4" fillId="0" borderId="40" xfId="0" applyFont="1" applyBorder="1"/>
    <xf numFmtId="0" fontId="30" fillId="0" borderId="29" xfId="0" applyFont="1" applyBorder="1" applyAlignment="1">
      <alignment horizontal="center" wrapText="1"/>
    </xf>
    <xf numFmtId="0" fontId="30" fillId="0" borderId="39" xfId="0" applyFont="1" applyBorder="1" applyAlignment="1">
      <alignment wrapText="1"/>
    </xf>
    <xf numFmtId="0" fontId="30" fillId="0" borderId="39" xfId="0" applyFont="1" applyFill="1" applyBorder="1" applyAlignment="1">
      <alignment wrapText="1"/>
    </xf>
    <xf numFmtId="0" fontId="30" fillId="56" borderId="30" xfId="0" applyFont="1" applyFill="1" applyBorder="1" applyAlignment="1">
      <alignment wrapText="1"/>
    </xf>
    <xf numFmtId="0" fontId="30" fillId="56" borderId="31" xfId="0" applyFont="1" applyFill="1" applyBorder="1" applyAlignment="1">
      <alignment wrapText="1"/>
    </xf>
    <xf numFmtId="0" fontId="30" fillId="0" borderId="24" xfId="0" applyFont="1" applyBorder="1" applyAlignment="1">
      <alignment wrapText="1"/>
    </xf>
    <xf numFmtId="0" fontId="29" fillId="0" borderId="0" xfId="0" applyFont="1" applyBorder="1"/>
    <xf numFmtId="0" fontId="29" fillId="56" borderId="24" xfId="0" applyFont="1" applyFill="1" applyBorder="1"/>
    <xf numFmtId="0" fontId="4" fillId="56" borderId="26" xfId="0" applyFont="1" applyFill="1" applyBorder="1"/>
    <xf numFmtId="0" fontId="29" fillId="0" borderId="24" xfId="0" applyFont="1" applyBorder="1" applyAlignment="1">
      <alignment horizontal="right"/>
    </xf>
    <xf numFmtId="2" fontId="29" fillId="0" borderId="0" xfId="0" applyNumberFormat="1" applyFont="1" applyFill="1" applyBorder="1"/>
    <xf numFmtId="2" fontId="29" fillId="56" borderId="24" xfId="0" applyNumberFormat="1" applyFont="1" applyFill="1" applyBorder="1"/>
    <xf numFmtId="0" fontId="4" fillId="56" borderId="26" xfId="0" applyFont="1" applyFill="1" applyBorder="1" applyAlignment="1">
      <alignment horizontal="right"/>
    </xf>
    <xf numFmtId="0" fontId="32" fillId="0" borderId="0" xfId="0" applyFont="1" applyBorder="1"/>
    <xf numFmtId="0" fontId="44" fillId="72" borderId="0" xfId="0" applyFont="1" applyFill="1" applyBorder="1"/>
    <xf numFmtId="0" fontId="44" fillId="65" borderId="0" xfId="0" applyFont="1" applyFill="1" applyBorder="1"/>
    <xf numFmtId="0" fontId="101" fillId="65" borderId="0" xfId="0" applyFont="1" applyFill="1" applyBorder="1"/>
    <xf numFmtId="0" fontId="101" fillId="65" borderId="0" xfId="0" applyFont="1" applyFill="1" applyBorder="1" applyAlignment="1">
      <alignment horizontal="right"/>
    </xf>
    <xf numFmtId="0" fontId="101" fillId="0" borderId="0" xfId="0" applyFont="1" applyFill="1" applyBorder="1"/>
    <xf numFmtId="0" fontId="29" fillId="0" borderId="24" xfId="0" applyFont="1" applyFill="1" applyBorder="1" applyAlignment="1">
      <alignment horizontal="right"/>
    </xf>
    <xf numFmtId="0" fontId="4" fillId="0" borderId="25" xfId="0" applyFont="1" applyBorder="1"/>
    <xf numFmtId="0" fontId="4" fillId="0" borderId="57" xfId="0" applyFont="1" applyBorder="1"/>
    <xf numFmtId="0" fontId="4" fillId="0" borderId="38" xfId="0" applyFont="1" applyBorder="1"/>
    <xf numFmtId="0" fontId="29" fillId="0" borderId="25" xfId="0" applyFont="1" applyFill="1" applyBorder="1" applyAlignment="1">
      <alignment horizontal="right"/>
    </xf>
    <xf numFmtId="2" fontId="29" fillId="0" borderId="57" xfId="0" applyNumberFormat="1" applyFont="1" applyFill="1" applyBorder="1"/>
    <xf numFmtId="2" fontId="29" fillId="56" borderId="25" xfId="0" applyNumberFormat="1" applyFont="1" applyFill="1" applyBorder="1"/>
    <xf numFmtId="0" fontId="4" fillId="56" borderId="38" xfId="0" applyFont="1" applyFill="1" applyBorder="1" applyAlignment="1">
      <alignment horizontal="right"/>
    </xf>
    <xf numFmtId="0" fontId="4" fillId="0" borderId="0" xfId="0" applyFont="1" applyFill="1" applyAlignment="1">
      <alignment vertical="top" wrapText="1"/>
    </xf>
    <xf numFmtId="0" fontId="4" fillId="56" borderId="24" xfId="0" applyFont="1" applyFill="1" applyBorder="1"/>
    <xf numFmtId="176" fontId="29" fillId="0" borderId="0" xfId="0" applyNumberFormat="1" applyFont="1" applyFill="1" applyBorder="1"/>
    <xf numFmtId="176" fontId="29" fillId="56" borderId="24" xfId="0" applyNumberFormat="1" applyFont="1" applyFill="1" applyBorder="1"/>
    <xf numFmtId="176" fontId="29" fillId="0" borderId="57" xfId="0" applyNumberFormat="1" applyFont="1" applyFill="1" applyBorder="1"/>
    <xf numFmtId="176" fontId="29" fillId="56" borderId="25" xfId="0" applyNumberFormat="1" applyFont="1" applyFill="1" applyBorder="1"/>
    <xf numFmtId="0" fontId="2" fillId="0" borderId="0" xfId="0" applyFont="1" applyFill="1" applyBorder="1" applyAlignment="1">
      <alignment horizontal="left"/>
    </xf>
    <xf numFmtId="0" fontId="29" fillId="0" borderId="0" xfId="0" applyFont="1" applyBorder="1" applyAlignment="1">
      <alignment horizontal="right"/>
    </xf>
    <xf numFmtId="0" fontId="4" fillId="73" borderId="0" xfId="0" applyFont="1" applyFill="1"/>
    <xf numFmtId="0" fontId="29" fillId="73" borderId="0" xfId="0" applyFont="1" applyFill="1" applyBorder="1" applyAlignment="1">
      <alignment horizontal="right"/>
    </xf>
    <xf numFmtId="0" fontId="32" fillId="0" borderId="0" xfId="0" applyFont="1"/>
    <xf numFmtId="0" fontId="6" fillId="0" borderId="0" xfId="76" applyFont="1" applyAlignment="1" applyProtection="1"/>
    <xf numFmtId="0" fontId="102" fillId="74" borderId="0" xfId="0" applyFont="1" applyFill="1" applyBorder="1"/>
    <xf numFmtId="0" fontId="29" fillId="74" borderId="0" xfId="0" applyFont="1" applyFill="1" applyBorder="1"/>
    <xf numFmtId="0" fontId="103" fillId="74" borderId="0" xfId="0" applyFont="1" applyFill="1" applyBorder="1"/>
    <xf numFmtId="0" fontId="102" fillId="74" borderId="0" xfId="0" applyFont="1" applyFill="1"/>
    <xf numFmtId="0" fontId="4" fillId="74" borderId="0" xfId="0" applyFont="1" applyFill="1"/>
    <xf numFmtId="0" fontId="103" fillId="74" borderId="0" xfId="0" applyFont="1" applyFill="1"/>
    <xf numFmtId="0" fontId="102" fillId="74" borderId="0" xfId="0" applyFont="1" applyFill="1" applyBorder="1" applyAlignment="1">
      <alignment wrapText="1"/>
    </xf>
    <xf numFmtId="0" fontId="104" fillId="74" borderId="0" xfId="0" applyFont="1" applyFill="1" applyBorder="1"/>
    <xf numFmtId="0" fontId="105" fillId="0" borderId="0" xfId="0" applyFont="1"/>
    <xf numFmtId="0" fontId="102" fillId="74" borderId="0" xfId="0" applyFont="1" applyFill="1" applyAlignment="1">
      <alignment wrapText="1"/>
    </xf>
    <xf numFmtId="0" fontId="30" fillId="74" borderId="0" xfId="0" applyFont="1" applyFill="1" applyBorder="1"/>
    <xf numFmtId="4" fontId="103" fillId="74" borderId="0" xfId="0" applyNumberFormat="1" applyFont="1" applyFill="1" applyBorder="1"/>
    <xf numFmtId="0" fontId="29" fillId="74" borderId="0" xfId="0" applyFont="1" applyFill="1"/>
    <xf numFmtId="0" fontId="103" fillId="0" borderId="0" xfId="0" applyFont="1"/>
    <xf numFmtId="0" fontId="32" fillId="56" borderId="0" xfId="0" applyFont="1" applyFill="1"/>
    <xf numFmtId="0" fontId="45" fillId="56" borderId="0" xfId="0" applyFont="1" applyFill="1" applyBorder="1"/>
    <xf numFmtId="0" fontId="6" fillId="56" borderId="0" xfId="76" applyFont="1" applyFill="1" applyBorder="1" applyAlignment="1" applyProtection="1"/>
    <xf numFmtId="0" fontId="4" fillId="56" borderId="0" xfId="0" applyFont="1" applyFill="1" applyBorder="1"/>
    <xf numFmtId="0" fontId="5" fillId="56" borderId="0" xfId="0" applyFont="1" applyFill="1" applyBorder="1" applyAlignment="1">
      <alignment horizontal="left" wrapText="1"/>
    </xf>
    <xf numFmtId="0" fontId="28" fillId="56" borderId="16" xfId="0" applyNumberFormat="1" applyFont="1" applyFill="1" applyBorder="1" applyAlignment="1" applyProtection="1">
      <alignment horizontal="center" wrapText="1"/>
    </xf>
    <xf numFmtId="4" fontId="28" fillId="56" borderId="16" xfId="0" applyNumberFormat="1" applyFont="1" applyFill="1" applyBorder="1" applyAlignment="1" applyProtection="1">
      <alignment horizontal="center" wrapText="1"/>
    </xf>
    <xf numFmtId="4" fontId="28" fillId="60" borderId="16" xfId="0" applyNumberFormat="1" applyFont="1" applyFill="1" applyBorder="1" applyAlignment="1" applyProtection="1">
      <alignment horizontal="center" wrapText="1"/>
    </xf>
    <xf numFmtId="0" fontId="28" fillId="56" borderId="16" xfId="0" applyNumberFormat="1" applyFont="1" applyFill="1" applyBorder="1" applyAlignment="1" applyProtection="1">
      <alignment horizontal="left" wrapText="1"/>
    </xf>
    <xf numFmtId="0" fontId="3" fillId="0" borderId="16" xfId="0" applyNumberFormat="1" applyFont="1" applyFill="1" applyBorder="1" applyAlignment="1" applyProtection="1">
      <alignment horizontal="center" wrapText="1"/>
    </xf>
    <xf numFmtId="4" fontId="3" fillId="0" borderId="16" xfId="0" applyNumberFormat="1" applyFont="1" applyFill="1" applyBorder="1" applyAlignment="1" applyProtection="1">
      <alignment horizontal="right" wrapText="1"/>
    </xf>
    <xf numFmtId="2" fontId="4" fillId="60" borderId="16" xfId="0" applyNumberFormat="1" applyFont="1" applyFill="1" applyBorder="1" applyAlignment="1" applyProtection="1"/>
    <xf numFmtId="4" fontId="75" fillId="74" borderId="0" xfId="0" applyNumberFormat="1" applyFont="1" applyFill="1" applyBorder="1"/>
    <xf numFmtId="0" fontId="4" fillId="56" borderId="0" xfId="0" applyNumberFormat="1" applyFont="1" applyFill="1" applyBorder="1" applyAlignment="1" applyProtection="1"/>
    <xf numFmtId="0" fontId="3" fillId="56" borderId="0" xfId="0" applyNumberFormat="1" applyFont="1" applyFill="1" applyBorder="1" applyAlignment="1" applyProtection="1">
      <alignment horizontal="left"/>
    </xf>
    <xf numFmtId="0" fontId="29" fillId="56" borderId="0" xfId="0" applyFont="1" applyFill="1" applyBorder="1" applyAlignment="1">
      <alignment vertical="top"/>
    </xf>
    <xf numFmtId="0" fontId="29" fillId="56" borderId="0" xfId="0" applyFont="1" applyFill="1" applyBorder="1" applyAlignment="1">
      <alignment horizontal="center" vertical="top"/>
    </xf>
    <xf numFmtId="0" fontId="4" fillId="56" borderId="0" xfId="0" applyFont="1" applyFill="1" applyBorder="1" applyAlignment="1"/>
    <xf numFmtId="0" fontId="3" fillId="56" borderId="0" xfId="0" applyNumberFormat="1" applyFont="1" applyFill="1" applyBorder="1" applyAlignment="1" applyProtection="1">
      <alignment horizontal="left" wrapText="1"/>
    </xf>
    <xf numFmtId="0" fontId="29" fillId="56" borderId="0" xfId="0" applyFont="1" applyFill="1" applyBorder="1" applyAlignment="1">
      <alignment vertical="top" wrapText="1"/>
    </xf>
    <xf numFmtId="0" fontId="29" fillId="56" borderId="0" xfId="0" applyFont="1" applyFill="1" applyBorder="1" applyAlignment="1">
      <alignment horizontal="center" vertical="top" wrapText="1"/>
    </xf>
    <xf numFmtId="0" fontId="5" fillId="0" borderId="0" xfId="0" applyFont="1" applyFill="1" applyBorder="1"/>
    <xf numFmtId="0" fontId="30" fillId="0" borderId="40" xfId="0" applyFont="1" applyBorder="1" applyAlignment="1">
      <alignment wrapText="1"/>
    </xf>
    <xf numFmtId="0" fontId="29" fillId="0" borderId="26" xfId="0" applyFont="1" applyBorder="1"/>
    <xf numFmtId="3" fontId="29" fillId="0" borderId="0" xfId="0" applyNumberFormat="1" applyFont="1" applyBorder="1"/>
    <xf numFmtId="2" fontId="29" fillId="0" borderId="26" xfId="0" applyNumberFormat="1" applyFont="1" applyBorder="1"/>
    <xf numFmtId="3" fontId="29" fillId="0" borderId="57" xfId="0" applyNumberFormat="1" applyFont="1" applyBorder="1"/>
    <xf numFmtId="2" fontId="29" fillId="0" borderId="38" xfId="0" applyNumberFormat="1" applyFont="1" applyBorder="1"/>
    <xf numFmtId="193" fontId="29" fillId="0" borderId="26" xfId="0" applyNumberFormat="1" applyFont="1" applyBorder="1"/>
    <xf numFmtId="193" fontId="29" fillId="0" borderId="26" xfId="0" applyNumberFormat="1" applyFont="1" applyFill="1" applyBorder="1"/>
    <xf numFmtId="0" fontId="29" fillId="0" borderId="57" xfId="0" applyFont="1" applyBorder="1"/>
    <xf numFmtId="193" fontId="29" fillId="0" borderId="38" xfId="0" applyNumberFormat="1" applyFont="1" applyBorder="1"/>
    <xf numFmtId="174" fontId="4" fillId="0" borderId="0" xfId="0" applyNumberFormat="1" applyFont="1" applyBorder="1"/>
    <xf numFmtId="0" fontId="4" fillId="0" borderId="57" xfId="0" applyFont="1" applyFill="1" applyBorder="1"/>
    <xf numFmtId="0" fontId="32" fillId="60" borderId="29" xfId="0" applyFont="1" applyFill="1" applyBorder="1" applyAlignment="1">
      <alignment horizontal="center"/>
    </xf>
    <xf numFmtId="0" fontId="105" fillId="60" borderId="30" xfId="0" applyFont="1" applyFill="1" applyBorder="1" applyAlignment="1">
      <alignment horizontal="center" wrapText="1"/>
    </xf>
    <xf numFmtId="0" fontId="105" fillId="60" borderId="18" xfId="0" applyFont="1" applyFill="1" applyBorder="1" applyAlignment="1">
      <alignment horizontal="center"/>
    </xf>
    <xf numFmtId="0" fontId="105" fillId="60" borderId="18" xfId="0" applyFont="1" applyFill="1" applyBorder="1" applyAlignment="1">
      <alignment horizontal="center" wrapText="1"/>
    </xf>
    <xf numFmtId="0" fontId="105" fillId="60" borderId="33" xfId="0" applyFont="1" applyFill="1" applyBorder="1" applyAlignment="1">
      <alignment horizontal="center" wrapText="1"/>
    </xf>
    <xf numFmtId="0" fontId="4" fillId="60" borderId="55" xfId="0" applyFont="1" applyFill="1" applyBorder="1"/>
    <xf numFmtId="174" fontId="4" fillId="0" borderId="0" xfId="0" applyNumberFormat="1" applyFont="1"/>
    <xf numFmtId="174" fontId="4" fillId="0" borderId="0" xfId="0" applyNumberFormat="1" applyFont="1" applyFill="1" applyBorder="1"/>
    <xf numFmtId="0" fontId="4" fillId="53" borderId="59" xfId="0" applyFont="1" applyFill="1" applyBorder="1"/>
    <xf numFmtId="0" fontId="4" fillId="53" borderId="35" xfId="0" applyFont="1" applyFill="1" applyBorder="1"/>
    <xf numFmtId="0" fontId="4" fillId="53" borderId="46" xfId="0" applyFont="1" applyFill="1" applyBorder="1"/>
    <xf numFmtId="0" fontId="4" fillId="53" borderId="15" xfId="0" applyFont="1" applyFill="1" applyBorder="1"/>
    <xf numFmtId="0" fontId="4" fillId="73" borderId="13" xfId="0" applyFont="1" applyFill="1" applyBorder="1"/>
    <xf numFmtId="170" fontId="106" fillId="73" borderId="35" xfId="55" applyNumberFormat="1" applyFont="1" applyFill="1" applyBorder="1"/>
    <xf numFmtId="170" fontId="106" fillId="58" borderId="35" xfId="55" applyNumberFormat="1" applyFont="1" applyFill="1" applyBorder="1"/>
    <xf numFmtId="170" fontId="106" fillId="56" borderId="35" xfId="55" applyNumberFormat="1" applyFont="1" applyFill="1" applyBorder="1"/>
    <xf numFmtId="170" fontId="106" fillId="58" borderId="13" xfId="55" applyNumberFormat="1" applyFont="1" applyFill="1" applyBorder="1"/>
    <xf numFmtId="0" fontId="44" fillId="0" borderId="17" xfId="0" applyFont="1" applyFill="1" applyBorder="1" applyAlignment="1">
      <alignment horizontal="left"/>
    </xf>
    <xf numFmtId="0" fontId="44" fillId="73" borderId="13" xfId="0" applyFont="1" applyFill="1" applyBorder="1" applyAlignment="1">
      <alignment horizontal="left"/>
    </xf>
    <xf numFmtId="0" fontId="44" fillId="0" borderId="17" xfId="0" applyFont="1" applyFill="1" applyBorder="1"/>
    <xf numFmtId="0" fontId="44" fillId="73" borderId="13" xfId="0" applyFont="1" applyFill="1" applyBorder="1"/>
    <xf numFmtId="170" fontId="4" fillId="0" borderId="0" xfId="0" applyNumberFormat="1" applyFont="1"/>
    <xf numFmtId="0" fontId="32" fillId="0" borderId="16" xfId="0" applyFont="1" applyFill="1" applyBorder="1" applyAlignment="1">
      <alignment horizontal="left"/>
    </xf>
    <xf numFmtId="170" fontId="32" fillId="0" borderId="16" xfId="55" applyNumberFormat="1" applyFont="1" applyFill="1" applyBorder="1"/>
    <xf numFmtId="0" fontId="4" fillId="53" borderId="60" xfId="0" applyFont="1" applyFill="1" applyBorder="1"/>
    <xf numFmtId="0" fontId="44" fillId="0" borderId="0" xfId="0" applyFont="1" applyFill="1" applyBorder="1" applyAlignment="1">
      <alignment horizontal="left"/>
    </xf>
    <xf numFmtId="38" fontId="44" fillId="0" borderId="0" xfId="55" applyNumberFormat="1" applyFont="1" applyFill="1" applyBorder="1"/>
    <xf numFmtId="189" fontId="106" fillId="58" borderId="35" xfId="55" applyNumberFormat="1" applyFont="1" applyFill="1" applyBorder="1"/>
    <xf numFmtId="189" fontId="106" fillId="56" borderId="35" xfId="55" applyNumberFormat="1" applyFont="1" applyFill="1" applyBorder="1"/>
    <xf numFmtId="0" fontId="44" fillId="0" borderId="16" xfId="0" applyFont="1" applyFill="1" applyBorder="1" applyAlignment="1">
      <alignment horizontal="left"/>
    </xf>
    <xf numFmtId="170" fontId="106" fillId="0" borderId="16" xfId="55" applyNumberFormat="1" applyFont="1" applyFill="1" applyBorder="1"/>
    <xf numFmtId="170" fontId="106" fillId="73" borderId="16" xfId="55" applyNumberFormat="1" applyFont="1" applyFill="1" applyBorder="1"/>
    <xf numFmtId="0" fontId="32" fillId="0" borderId="0" xfId="0" applyFont="1" applyFill="1" applyBorder="1" applyAlignment="1">
      <alignment horizontal="left"/>
    </xf>
    <xf numFmtId="170" fontId="32" fillId="0" borderId="0" xfId="55" applyNumberFormat="1" applyFont="1" applyFill="1" applyBorder="1"/>
    <xf numFmtId="170" fontId="106" fillId="0" borderId="0" xfId="55" applyNumberFormat="1" applyFont="1" applyFill="1" applyBorder="1"/>
    <xf numFmtId="169" fontId="106" fillId="58" borderId="35" xfId="55" applyNumberFormat="1" applyFont="1" applyFill="1" applyBorder="1"/>
    <xf numFmtId="169" fontId="106" fillId="56" borderId="35" xfId="55" applyNumberFormat="1" applyFont="1" applyFill="1" applyBorder="1"/>
    <xf numFmtId="169" fontId="106" fillId="73" borderId="35" xfId="55" applyNumberFormat="1" applyFont="1" applyFill="1" applyBorder="1"/>
    <xf numFmtId="170" fontId="4" fillId="0" borderId="0" xfId="0" applyNumberFormat="1" applyFont="1" applyFill="1" applyBorder="1"/>
    <xf numFmtId="169" fontId="106" fillId="0" borderId="16" xfId="55" applyNumberFormat="1" applyFont="1" applyFill="1" applyBorder="1"/>
    <xf numFmtId="169" fontId="106" fillId="73" borderId="16" xfId="55" applyNumberFormat="1" applyFont="1" applyFill="1" applyBorder="1"/>
    <xf numFmtId="0" fontId="105" fillId="0" borderId="0" xfId="0" applyFont="1" applyFill="1" applyBorder="1" applyAlignment="1">
      <alignment horizontal="right"/>
    </xf>
    <xf numFmtId="170" fontId="106" fillId="73" borderId="43" xfId="55" applyNumberFormat="1" applyFont="1" applyFill="1" applyBorder="1"/>
    <xf numFmtId="170" fontId="4" fillId="52" borderId="37" xfId="0" applyNumberFormat="1" applyFont="1" applyFill="1" applyBorder="1"/>
    <xf numFmtId="0" fontId="4" fillId="0" borderId="37" xfId="0" applyFont="1" applyBorder="1"/>
    <xf numFmtId="0" fontId="4" fillId="0" borderId="48" xfId="0" applyFont="1" applyFill="1" applyBorder="1"/>
    <xf numFmtId="170" fontId="106" fillId="56" borderId="43" xfId="55" applyNumberFormat="1" applyFont="1" applyFill="1" applyBorder="1"/>
    <xf numFmtId="0" fontId="32" fillId="0" borderId="0" xfId="0" applyFont="1" applyFill="1" applyBorder="1" applyAlignment="1">
      <alignment horizontal="right"/>
    </xf>
    <xf numFmtId="38" fontId="106" fillId="0" borderId="0" xfId="55" applyNumberFormat="1" applyFont="1" applyFill="1" applyBorder="1"/>
    <xf numFmtId="43" fontId="4" fillId="0" borderId="0" xfId="0" applyNumberFormat="1" applyFont="1" applyFill="1" applyBorder="1"/>
    <xf numFmtId="0" fontId="4" fillId="0" borderId="21" xfId="0" applyFont="1" applyFill="1" applyBorder="1"/>
    <xf numFmtId="170" fontId="4" fillId="0" borderId="21" xfId="0" applyNumberFormat="1" applyFont="1" applyFill="1" applyBorder="1"/>
    <xf numFmtId="170" fontId="4" fillId="0" borderId="22" xfId="0" applyNumberFormat="1" applyFont="1" applyFill="1" applyBorder="1"/>
    <xf numFmtId="0" fontId="4" fillId="0" borderId="17" xfId="0" applyFont="1" applyFill="1" applyBorder="1" applyAlignment="1">
      <alignment horizontal="center"/>
    </xf>
    <xf numFmtId="0" fontId="4" fillId="0" borderId="21" xfId="0" applyFont="1" applyFill="1" applyBorder="1" applyAlignment="1">
      <alignment horizontal="center"/>
    </xf>
    <xf numFmtId="3" fontId="4" fillId="0" borderId="0" xfId="0" applyNumberFormat="1" applyFont="1" applyFill="1" applyBorder="1"/>
    <xf numFmtId="0" fontId="4" fillId="0" borderId="14" xfId="0" applyFont="1" applyFill="1" applyBorder="1"/>
    <xf numFmtId="170" fontId="4" fillId="0" borderId="14" xfId="0" applyNumberFormat="1" applyFont="1" applyFill="1" applyBorder="1"/>
    <xf numFmtId="170" fontId="4" fillId="0" borderId="15" xfId="0" applyNumberFormat="1"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0" fontId="44" fillId="0" borderId="0" xfId="0" applyFont="1" applyFill="1" applyBorder="1"/>
    <xf numFmtId="190" fontId="44" fillId="0" borderId="0" xfId="0" applyNumberFormat="1" applyFont="1" applyFill="1" applyBorder="1"/>
    <xf numFmtId="0" fontId="4" fillId="0" borderId="0" xfId="0" applyFont="1" applyAlignment="1"/>
    <xf numFmtId="177" fontId="4" fillId="0" borderId="0" xfId="55" applyNumberFormat="1" applyFont="1" applyProtection="1">
      <protection locked="0"/>
    </xf>
    <xf numFmtId="170" fontId="8" fillId="60" borderId="37" xfId="56" applyNumberFormat="1" applyFont="1" applyFill="1" applyBorder="1" applyAlignment="1">
      <alignment horizontal="center"/>
    </xf>
    <xf numFmtId="0" fontId="107" fillId="75" borderId="32" xfId="0" applyFont="1" applyFill="1" applyBorder="1"/>
    <xf numFmtId="0" fontId="107" fillId="75" borderId="18" xfId="0" applyFont="1" applyFill="1" applyBorder="1"/>
    <xf numFmtId="0" fontId="107" fillId="75" borderId="33" xfId="0" applyFont="1" applyFill="1" applyBorder="1"/>
    <xf numFmtId="170" fontId="108" fillId="73" borderId="35" xfId="57" applyNumberFormat="1" applyFont="1" applyFill="1" applyBorder="1"/>
    <xf numFmtId="170" fontId="108" fillId="0" borderId="35" xfId="57" applyNumberFormat="1" applyFont="1" applyFill="1" applyBorder="1"/>
    <xf numFmtId="0" fontId="4" fillId="0" borderId="17" xfId="0" applyFont="1" applyFill="1" applyBorder="1" applyAlignment="1">
      <alignment horizontal="left"/>
    </xf>
    <xf numFmtId="0" fontId="8" fillId="0" borderId="16" xfId="0" applyFont="1" applyFill="1" applyBorder="1" applyAlignment="1">
      <alignment horizontal="left"/>
    </xf>
    <xf numFmtId="170"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70" fontId="4" fillId="0" borderId="35" xfId="57" applyNumberFormat="1" applyFont="1" applyFill="1" applyBorder="1"/>
    <xf numFmtId="170" fontId="4" fillId="73" borderId="35" xfId="57" applyNumberFormat="1" applyFont="1" applyFill="1" applyBorder="1"/>
    <xf numFmtId="170" fontId="102" fillId="0" borderId="0" xfId="55" applyNumberFormat="1" applyFont="1" applyFill="1" applyBorder="1"/>
    <xf numFmtId="170" fontId="108" fillId="0" borderId="0" xfId="55" applyNumberFormat="1" applyFont="1" applyFill="1" applyBorder="1"/>
    <xf numFmtId="170" fontId="108" fillId="65" borderId="35" xfId="55" applyNumberFormat="1" applyFont="1" applyFill="1" applyBorder="1"/>
    <xf numFmtId="0" fontId="4" fillId="52" borderId="17" xfId="0" applyFont="1" applyFill="1" applyBorder="1" applyAlignment="1">
      <alignment horizontal="left"/>
    </xf>
    <xf numFmtId="170" fontId="108" fillId="0" borderId="13" xfId="57" applyNumberFormat="1" applyFont="1" applyFill="1" applyBorder="1"/>
    <xf numFmtId="170" fontId="79" fillId="0" borderId="0" xfId="55" applyNumberFormat="1" applyFont="1" applyFill="1" applyBorder="1"/>
    <xf numFmtId="0" fontId="4" fillId="0" borderId="37" xfId="0" applyFont="1" applyFill="1" applyBorder="1" applyAlignment="1">
      <alignment horizontal="left"/>
    </xf>
    <xf numFmtId="170" fontId="108" fillId="0" borderId="35" xfId="55" applyNumberFormat="1" applyFont="1" applyFill="1" applyBorder="1"/>
    <xf numFmtId="170" fontId="108" fillId="0" borderId="0" xfId="57" applyNumberFormat="1" applyFont="1" applyFill="1" applyBorder="1"/>
    <xf numFmtId="170" fontId="108" fillId="0" borderId="16" xfId="57" applyNumberFormat="1" applyFont="1" applyFill="1" applyBorder="1"/>
    <xf numFmtId="170" fontId="108" fillId="0" borderId="23" xfId="55" applyNumberFormat="1" applyFont="1" applyFill="1" applyBorder="1"/>
    <xf numFmtId="170" fontId="108" fillId="0" borderId="17" xfId="57" applyNumberFormat="1" applyFont="1" applyFill="1" applyBorder="1"/>
    <xf numFmtId="170" fontId="108" fillId="0" borderId="17" xfId="55" applyNumberFormat="1" applyFont="1" applyFill="1" applyBorder="1"/>
    <xf numFmtId="170" fontId="8" fillId="0" borderId="16" xfId="57" applyNumberFormat="1" applyFont="1" applyFill="1" applyBorder="1"/>
    <xf numFmtId="170" fontId="8" fillId="0" borderId="35" xfId="57" applyNumberFormat="1" applyFont="1" applyFill="1" applyBorder="1"/>
    <xf numFmtId="170" fontId="8" fillId="0" borderId="13" xfId="57" applyNumberFormat="1" applyFont="1" applyFill="1" applyBorder="1"/>
    <xf numFmtId="170" fontId="108" fillId="0" borderId="61" xfId="57" applyNumberFormat="1" applyFont="1" applyFill="1" applyBorder="1"/>
    <xf numFmtId="170" fontId="108" fillId="0" borderId="61" xfId="55" applyNumberFormat="1" applyFont="1" applyFill="1" applyBorder="1"/>
    <xf numFmtId="170" fontId="108" fillId="0" borderId="16" xfId="55" applyNumberFormat="1" applyFont="1" applyFill="1" applyBorder="1"/>
    <xf numFmtId="170" fontId="108" fillId="0" borderId="13" xfId="55" applyNumberFormat="1" applyFont="1" applyFill="1" applyBorder="1"/>
    <xf numFmtId="3" fontId="29" fillId="54" borderId="0" xfId="0" applyNumberFormat="1" applyFont="1" applyFill="1"/>
    <xf numFmtId="38" fontId="4" fillId="54" borderId="16" xfId="55" applyNumberFormat="1" applyFont="1" applyFill="1" applyBorder="1" applyAlignment="1">
      <alignment horizontal="center" vertical="center"/>
    </xf>
    <xf numFmtId="0" fontId="109" fillId="0" borderId="0" xfId="0" applyFont="1" applyBorder="1" applyAlignment="1">
      <alignment vertical="center"/>
    </xf>
    <xf numFmtId="0" fontId="4" fillId="0" borderId="0" xfId="0" applyFont="1" applyAlignment="1">
      <alignment wrapText="1"/>
    </xf>
    <xf numFmtId="3" fontId="4" fillId="65" borderId="0" xfId="0" applyNumberFormat="1" applyFont="1" applyFill="1"/>
    <xf numFmtId="0" fontId="4" fillId="66" borderId="0" xfId="0" applyFont="1" applyFill="1"/>
    <xf numFmtId="0" fontId="4" fillId="65" borderId="0" xfId="0" applyFont="1" applyFill="1" applyBorder="1" applyAlignment="1">
      <alignment horizontal="right"/>
    </xf>
    <xf numFmtId="4" fontId="4" fillId="65" borderId="0" xfId="0" applyNumberFormat="1" applyFont="1" applyFill="1" applyBorder="1"/>
    <xf numFmtId="168" fontId="76" fillId="20" borderId="16" xfId="0" quotePrefix="1" applyNumberFormat="1" applyFont="1" applyFill="1" applyBorder="1"/>
    <xf numFmtId="3" fontId="3" fillId="54" borderId="37" xfId="87" applyNumberFormat="1" applyFont="1" applyFill="1" applyBorder="1"/>
    <xf numFmtId="0" fontId="8" fillId="0" borderId="37" xfId="0" applyFont="1" applyBorder="1" applyAlignment="1">
      <alignment horizontal="center"/>
    </xf>
    <xf numFmtId="0" fontId="8" fillId="0" borderId="22" xfId="0" applyFont="1" applyFill="1" applyBorder="1" applyAlignment="1">
      <alignment horizontal="center" wrapText="1"/>
    </xf>
    <xf numFmtId="0" fontId="108" fillId="0" borderId="0" xfId="0" applyFont="1" applyFill="1"/>
    <xf numFmtId="0" fontId="101" fillId="65" borderId="0" xfId="0" applyFont="1" applyFill="1" applyAlignment="1">
      <alignment horizontal="right"/>
    </xf>
    <xf numFmtId="0" fontId="110" fillId="0" borderId="0" xfId="76" applyFont="1" applyAlignment="1" applyProtection="1"/>
    <xf numFmtId="0" fontId="6" fillId="0" borderId="0" xfId="76" applyFill="1" applyAlignment="1" applyProtection="1"/>
    <xf numFmtId="0" fontId="0" fillId="52" borderId="0" xfId="0" applyFill="1"/>
    <xf numFmtId="0" fontId="33" fillId="59" borderId="0" xfId="0" applyFont="1" applyFill="1" applyAlignment="1">
      <alignment horizontal="left"/>
    </xf>
    <xf numFmtId="15" fontId="0" fillId="19" borderId="0" xfId="0" applyNumberFormat="1" applyFill="1"/>
    <xf numFmtId="0" fontId="3" fillId="0" borderId="16" xfId="0" applyFont="1" applyBorder="1" applyAlignment="1">
      <alignment horizontal="right" wrapText="1"/>
    </xf>
    <xf numFmtId="0" fontId="3" fillId="0" borderId="16" xfId="0" applyFont="1" applyBorder="1" applyAlignment="1">
      <alignment horizontal="left" wrapText="1"/>
    </xf>
    <xf numFmtId="3" fontId="3" fillId="0" borderId="16" xfId="0" applyNumberFormat="1" applyFont="1" applyBorder="1" applyAlignment="1">
      <alignment horizontal="right" wrapText="1"/>
    </xf>
    <xf numFmtId="174" fontId="0" fillId="0" borderId="0" xfId="0" applyNumberFormat="1"/>
    <xf numFmtId="179" fontId="0" fillId="0" borderId="0" xfId="0" applyNumberFormat="1"/>
    <xf numFmtId="179" fontId="0" fillId="0" borderId="0" xfId="0" applyNumberFormat="1" applyFill="1"/>
    <xf numFmtId="179" fontId="4" fillId="0" borderId="0" xfId="0" applyNumberFormat="1" applyFont="1" applyFill="1"/>
    <xf numFmtId="174" fontId="0" fillId="64" borderId="0" xfId="0" applyNumberFormat="1" applyFill="1"/>
    <xf numFmtId="14" fontId="2" fillId="0" borderId="16" xfId="0" applyNumberFormat="1" applyFont="1" applyFill="1" applyBorder="1"/>
    <xf numFmtId="9" fontId="79" fillId="0" borderId="0" xfId="87" applyNumberFormat="1" applyFont="1" applyBorder="1"/>
    <xf numFmtId="3" fontId="29" fillId="0" borderId="0" xfId="0" applyNumberFormat="1" applyFont="1" applyFill="1" applyAlignment="1">
      <alignment wrapText="1"/>
    </xf>
    <xf numFmtId="170" fontId="4" fillId="0" borderId="0" xfId="55" applyNumberFormat="1" applyFont="1" applyBorder="1"/>
    <xf numFmtId="0" fontId="6" fillId="0" borderId="0" xfId="76" applyAlignment="1" applyProtection="1"/>
    <xf numFmtId="0" fontId="80" fillId="0" borderId="0" xfId="76" applyFont="1" applyAlignment="1" applyProtection="1"/>
    <xf numFmtId="0" fontId="44" fillId="0" borderId="29" xfId="0" applyFont="1" applyBorder="1" applyAlignment="1">
      <alignment horizontal="right"/>
    </xf>
    <xf numFmtId="0" fontId="44" fillId="0" borderId="39" xfId="0" applyFont="1" applyBorder="1"/>
    <xf numFmtId="0" fontId="44" fillId="0" borderId="40" xfId="0" applyFont="1" applyBorder="1"/>
    <xf numFmtId="0" fontId="44" fillId="0" borderId="25" xfId="0" applyFont="1" applyBorder="1" applyAlignment="1">
      <alignment horizontal="right"/>
    </xf>
    <xf numFmtId="0" fontId="44" fillId="0" borderId="57" xfId="0" applyFont="1" applyBorder="1"/>
    <xf numFmtId="0" fontId="44" fillId="0" borderId="38" xfId="0" applyFont="1" applyBorder="1"/>
    <xf numFmtId="171" fontId="3" fillId="0" borderId="0" xfId="92" applyNumberFormat="1" applyFont="1" applyBorder="1"/>
    <xf numFmtId="3" fontId="111" fillId="0" borderId="0" xfId="0" applyNumberFormat="1" applyFont="1" applyFill="1" applyAlignment="1">
      <alignment wrapText="1"/>
    </xf>
    <xf numFmtId="3" fontId="0" fillId="57" borderId="0" xfId="0" applyNumberFormat="1" applyFill="1" applyBorder="1"/>
    <xf numFmtId="0" fontId="2" fillId="59" borderId="0" xfId="0" applyNumberFormat="1" applyFont="1" applyFill="1" applyBorder="1" applyAlignment="1" applyProtection="1">
      <alignment horizontal="left"/>
    </xf>
    <xf numFmtId="0" fontId="4" fillId="52" borderId="0" xfId="0" applyFont="1" applyFill="1" applyBorder="1" applyAlignment="1">
      <alignment horizontal="right"/>
    </xf>
    <xf numFmtId="3" fontId="0" fillId="52" borderId="0" xfId="0" applyNumberFormat="1" applyFill="1" applyBorder="1"/>
    <xf numFmtId="190" fontId="0" fillId="52" borderId="20" xfId="0" applyNumberFormat="1" applyFill="1" applyBorder="1"/>
    <xf numFmtId="0" fontId="4" fillId="52" borderId="16" xfId="0" applyFont="1" applyFill="1" applyBorder="1"/>
    <xf numFmtId="0" fontId="4" fillId="52" borderId="0" xfId="0" applyFont="1" applyFill="1" applyBorder="1"/>
    <xf numFmtId="0" fontId="0" fillId="52" borderId="0" xfId="0" applyFill="1" applyBorder="1"/>
    <xf numFmtId="0" fontId="8" fillId="52" borderId="0" xfId="0" applyFont="1" applyFill="1"/>
    <xf numFmtId="0" fontId="4" fillId="52" borderId="0" xfId="0" applyFont="1" applyFill="1" applyBorder="1" applyAlignment="1">
      <alignment horizontal="left"/>
    </xf>
    <xf numFmtId="0" fontId="4" fillId="52" borderId="16" xfId="0" applyFont="1" applyFill="1" applyBorder="1" applyAlignment="1">
      <alignment vertical="center" wrapText="1"/>
    </xf>
    <xf numFmtId="0" fontId="8" fillId="52" borderId="16" xfId="0" applyFont="1" applyFill="1" applyBorder="1" applyAlignment="1">
      <alignment wrapText="1"/>
    </xf>
    <xf numFmtId="0" fontId="0" fillId="52" borderId="0" xfId="0" applyNumberFormat="1" applyFill="1" applyBorder="1"/>
    <xf numFmtId="0" fontId="8" fillId="0" borderId="29" xfId="0" applyFont="1" applyFill="1" applyBorder="1" applyAlignment="1">
      <alignment vertical="top"/>
    </xf>
    <xf numFmtId="0" fontId="4" fillId="0" borderId="39" xfId="0" applyFont="1" applyFill="1" applyBorder="1" applyAlignment="1">
      <alignment vertical="top" wrapText="1"/>
    </xf>
    <xf numFmtId="0" fontId="4" fillId="0" borderId="40" xfId="0" applyFont="1" applyFill="1" applyBorder="1" applyAlignment="1">
      <alignment vertical="top" wrapText="1"/>
    </xf>
    <xf numFmtId="0" fontId="4" fillId="52" borderId="24" xfId="0" applyFont="1" applyFill="1" applyBorder="1"/>
    <xf numFmtId="0" fontId="4" fillId="0" borderId="62" xfId="0" applyFont="1" applyBorder="1"/>
    <xf numFmtId="0" fontId="4" fillId="0" borderId="25" xfId="0" applyFont="1" applyBorder="1" applyAlignment="1">
      <alignment horizontal="right"/>
    </xf>
    <xf numFmtId="0" fontId="6" fillId="0" borderId="57" xfId="76" applyBorder="1" applyAlignment="1" applyProtection="1"/>
    <xf numFmtId="0" fontId="4" fillId="52" borderId="0" xfId="0" applyFont="1" applyFill="1"/>
    <xf numFmtId="0" fontId="96" fillId="0" borderId="29" xfId="0" applyFont="1" applyFill="1" applyBorder="1" applyAlignment="1">
      <alignment horizontal="center" vertical="center"/>
    </xf>
    <xf numFmtId="0" fontId="96" fillId="0" borderId="39" xfId="0" applyFont="1" applyFill="1" applyBorder="1" applyAlignment="1">
      <alignment horizontal="center" vertical="center"/>
    </xf>
    <xf numFmtId="0" fontId="96" fillId="0" borderId="40" xfId="0" applyFont="1" applyFill="1" applyBorder="1" applyAlignment="1">
      <alignment horizontal="center" vertical="center"/>
    </xf>
    <xf numFmtId="0" fontId="112" fillId="0" borderId="0" xfId="0" applyFont="1"/>
    <xf numFmtId="0" fontId="50" fillId="0" borderId="0" xfId="0" applyFont="1"/>
    <xf numFmtId="0" fontId="76" fillId="76" borderId="16" xfId="0" applyFont="1" applyFill="1" applyBorder="1"/>
    <xf numFmtId="0" fontId="41" fillId="0" borderId="0" xfId="0" applyFont="1"/>
    <xf numFmtId="170" fontId="76" fillId="0" borderId="21" xfId="56" applyNumberFormat="1" applyFont="1" applyFill="1" applyBorder="1" applyAlignment="1">
      <alignment horizontal="center"/>
    </xf>
    <xf numFmtId="170" fontId="76" fillId="0" borderId="27" xfId="56" applyNumberFormat="1" applyFont="1" applyFill="1" applyBorder="1" applyAlignment="1">
      <alignment horizontal="center"/>
    </xf>
    <xf numFmtId="170" fontId="76" fillId="0" borderId="56" xfId="56" applyNumberFormat="1" applyFont="1" applyFill="1" applyBorder="1" applyAlignment="1">
      <alignment horizontal="center"/>
    </xf>
    <xf numFmtId="170" fontId="76" fillId="0" borderId="55" xfId="56" applyNumberFormat="1" applyFont="1" applyFill="1" applyBorder="1" applyAlignment="1">
      <alignment horizontal="center"/>
    </xf>
    <xf numFmtId="0" fontId="42" fillId="0" borderId="45" xfId="0" applyFont="1" applyBorder="1" applyAlignment="1">
      <alignment horizontal="center" wrapText="1"/>
    </xf>
    <xf numFmtId="0" fontId="42" fillId="0" borderId="47" xfId="0" applyFont="1" applyBorder="1" applyAlignment="1">
      <alignment horizontal="center" wrapText="1"/>
    </xf>
    <xf numFmtId="0" fontId="42" fillId="0" borderId="42" xfId="0" applyFont="1" applyBorder="1" applyAlignment="1">
      <alignment horizontal="center" wrapText="1"/>
    </xf>
    <xf numFmtId="0" fontId="42" fillId="0" borderId="44" xfId="0" applyFont="1" applyBorder="1" applyAlignment="1">
      <alignment horizontal="center" wrapText="1"/>
    </xf>
    <xf numFmtId="0" fontId="90" fillId="0" borderId="63" xfId="0" applyFont="1" applyBorder="1" applyAlignment="1">
      <alignment horizontal="right" wrapText="1"/>
    </xf>
    <xf numFmtId="0" fontId="90" fillId="0" borderId="63" xfId="0" applyFont="1" applyBorder="1" applyAlignment="1">
      <alignment horizontal="right"/>
    </xf>
    <xf numFmtId="0" fontId="90" fillId="0" borderId="61" xfId="0" applyFont="1" applyBorder="1" applyAlignment="1">
      <alignment horizontal="right"/>
    </xf>
    <xf numFmtId="3" fontId="90" fillId="0" borderId="16" xfId="0" applyNumberFormat="1" applyFont="1" applyBorder="1" applyAlignment="1">
      <alignment horizontal="center" vertical="center" wrapText="1"/>
    </xf>
    <xf numFmtId="174" fontId="90" fillId="0" borderId="27" xfId="0" applyNumberFormat="1" applyFont="1" applyBorder="1" applyAlignment="1">
      <alignment horizontal="center" vertical="center" wrapText="1"/>
    </xf>
    <xf numFmtId="3" fontId="90" fillId="70" borderId="16" xfId="0" applyNumberFormat="1" applyFont="1" applyFill="1" applyBorder="1" applyAlignment="1">
      <alignment horizontal="center" vertical="center"/>
    </xf>
    <xf numFmtId="3" fontId="90" fillId="70" borderId="27" xfId="0" applyNumberFormat="1" applyFont="1" applyFill="1" applyBorder="1" applyAlignment="1">
      <alignment horizontal="center" vertical="center"/>
    </xf>
    <xf numFmtId="3" fontId="90" fillId="70" borderId="28" xfId="0" applyNumberFormat="1" applyFont="1" applyFill="1" applyBorder="1" applyAlignment="1">
      <alignment horizontal="center" vertical="center"/>
    </xf>
    <xf numFmtId="3" fontId="90" fillId="70" borderId="55" xfId="0" applyNumberFormat="1" applyFont="1" applyFill="1" applyBorder="1" applyAlignment="1">
      <alignment horizontal="center" vertical="center"/>
    </xf>
    <xf numFmtId="37" fontId="76" fillId="0" borderId="64" xfId="56" applyNumberFormat="1" applyFont="1" applyFill="1" applyBorder="1" applyAlignment="1">
      <alignment horizontal="right"/>
    </xf>
    <xf numFmtId="37" fontId="76" fillId="0" borderId="50" xfId="56" applyNumberFormat="1" applyFont="1" applyFill="1" applyBorder="1" applyAlignment="1">
      <alignment horizontal="right"/>
    </xf>
    <xf numFmtId="170" fontId="4" fillId="0" borderId="0" xfId="0" applyNumberFormat="1" applyFont="1" applyFill="1" applyBorder="1" applyAlignment="1">
      <alignment horizontal="left"/>
    </xf>
    <xf numFmtId="170" fontId="76" fillId="76" borderId="16" xfId="55" applyNumberFormat="1" applyFont="1" applyFill="1" applyBorder="1"/>
    <xf numFmtId="0" fontId="114" fillId="0" borderId="29" xfId="0" applyFont="1" applyBorder="1" applyAlignment="1">
      <alignment horizontal="center" vertical="center" wrapText="1"/>
    </xf>
    <xf numFmtId="0" fontId="114" fillId="0" borderId="39" xfId="0" applyFont="1" applyBorder="1" applyAlignment="1">
      <alignment horizontal="center" vertical="center" wrapText="1"/>
    </xf>
    <xf numFmtId="0" fontId="114" fillId="0" borderId="40"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0"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25" xfId="0" applyFont="1" applyBorder="1" applyAlignment="1">
      <alignment horizontal="center" vertical="center" wrapText="1"/>
    </xf>
    <xf numFmtId="0" fontId="114" fillId="0" borderId="57" xfId="0" applyFont="1" applyBorder="1" applyAlignment="1">
      <alignment horizontal="center" vertical="center" wrapText="1"/>
    </xf>
    <xf numFmtId="0" fontId="114" fillId="0" borderId="38" xfId="0" applyFont="1" applyBorder="1" applyAlignment="1">
      <alignment horizontal="center" vertical="center" wrapText="1"/>
    </xf>
    <xf numFmtId="0" fontId="96" fillId="0" borderId="48" xfId="0" applyFont="1" applyBorder="1" applyAlignment="1">
      <alignment horizontal="center" vertical="center" wrapText="1"/>
    </xf>
    <xf numFmtId="0" fontId="96" fillId="0" borderId="61" xfId="0" applyFont="1" applyBorder="1" applyAlignment="1">
      <alignment horizontal="center" vertical="center" wrapText="1"/>
    </xf>
    <xf numFmtId="0" fontId="115" fillId="0" borderId="65" xfId="0" applyFont="1" applyBorder="1" applyAlignment="1">
      <alignment horizontal="right" vertical="center" wrapText="1"/>
    </xf>
    <xf numFmtId="0" fontId="115" fillId="0" borderId="22" xfId="0" applyFont="1" applyBorder="1" applyAlignment="1">
      <alignment horizontal="right" vertical="center" wrapText="1"/>
    </xf>
    <xf numFmtId="0" fontId="96" fillId="0" borderId="29" xfId="0" applyFont="1" applyBorder="1" applyAlignment="1">
      <alignment horizontal="center" vertical="center" wrapText="1"/>
    </xf>
    <xf numFmtId="0" fontId="96" fillId="0" borderId="40"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26" xfId="0" applyFont="1" applyBorder="1" applyAlignment="1">
      <alignment horizontal="center" vertical="center" wrapText="1"/>
    </xf>
    <xf numFmtId="43" fontId="76" fillId="0" borderId="64" xfId="56" applyFont="1" applyFill="1" applyBorder="1" applyAlignment="1">
      <alignment horizontal="right" vertical="center"/>
    </xf>
    <xf numFmtId="43" fontId="76" fillId="0" borderId="16" xfId="56" applyFont="1" applyFill="1" applyBorder="1" applyAlignment="1">
      <alignment horizontal="right" vertical="center"/>
    </xf>
    <xf numFmtId="43" fontId="90" fillId="0" borderId="43" xfId="56" applyFont="1" applyFill="1" applyBorder="1" applyAlignment="1">
      <alignment horizontal="center" vertical="center" wrapText="1"/>
    </xf>
    <xf numFmtId="43" fontId="90" fillId="0" borderId="44" xfId="56" applyFont="1" applyFill="1" applyBorder="1" applyAlignment="1">
      <alignment horizontal="center" vertical="center" wrapText="1"/>
    </xf>
    <xf numFmtId="0" fontId="90" fillId="0" borderId="42" xfId="0" applyFont="1" applyBorder="1" applyAlignment="1">
      <alignment horizontal="center" vertical="center" wrapText="1"/>
    </xf>
    <xf numFmtId="0" fontId="90" fillId="0" borderId="43" xfId="0" applyFont="1" applyBorder="1" applyAlignment="1">
      <alignment horizontal="center" vertical="center"/>
    </xf>
    <xf numFmtId="0" fontId="96" fillId="0" borderId="39" xfId="0" applyFont="1" applyBorder="1" applyAlignment="1">
      <alignment horizontal="center" vertical="center" wrapText="1"/>
    </xf>
    <xf numFmtId="0" fontId="96" fillId="0" borderId="25" xfId="0" applyFont="1" applyBorder="1" applyAlignment="1">
      <alignment horizontal="center" vertical="center" wrapText="1"/>
    </xf>
    <xf numFmtId="0" fontId="96" fillId="0" borderId="57" xfId="0" applyFont="1" applyBorder="1" applyAlignment="1">
      <alignment horizontal="center" vertical="center" wrapText="1"/>
    </xf>
    <xf numFmtId="0" fontId="96" fillId="0" borderId="38" xfId="0" applyFont="1" applyBorder="1" applyAlignment="1">
      <alignment horizontal="center" vertical="center" wrapText="1"/>
    </xf>
    <xf numFmtId="43" fontId="76" fillId="0" borderId="50" xfId="56" applyFont="1" applyFill="1" applyBorder="1" applyAlignment="1">
      <alignment horizontal="right" vertical="center"/>
    </xf>
    <xf numFmtId="43" fontId="76" fillId="0" borderId="28" xfId="56" applyFont="1" applyFill="1" applyBorder="1" applyAlignment="1">
      <alignment horizontal="right" vertical="center"/>
    </xf>
    <xf numFmtId="0" fontId="96" fillId="0" borderId="48" xfId="0" applyFont="1" applyFill="1" applyBorder="1" applyAlignment="1">
      <alignment horizontal="center" vertical="center" wrapText="1"/>
    </xf>
    <xf numFmtId="0" fontId="96" fillId="0" borderId="61" xfId="0" applyFont="1" applyFill="1" applyBorder="1" applyAlignment="1">
      <alignment horizontal="center" vertical="center" wrapText="1"/>
    </xf>
    <xf numFmtId="0" fontId="113" fillId="0" borderId="65" xfId="0" applyFont="1" applyBorder="1" applyAlignment="1">
      <alignment horizontal="right" vertical="center" wrapText="1"/>
    </xf>
    <xf numFmtId="0" fontId="113" fillId="0" borderId="22" xfId="0" applyFont="1" applyBorder="1" applyAlignment="1">
      <alignment horizontal="right" vertical="center" wrapText="1"/>
    </xf>
    <xf numFmtId="0" fontId="96" fillId="0" borderId="30" xfId="0" applyFont="1" applyFill="1" applyBorder="1" applyAlignment="1">
      <alignment horizontal="center" vertical="center"/>
    </xf>
    <xf numFmtId="0" fontId="96" fillId="0" borderId="58" xfId="0" applyFont="1" applyFill="1" applyBorder="1" applyAlignment="1">
      <alignment horizontal="center" vertical="center"/>
    </xf>
    <xf numFmtId="0" fontId="96" fillId="0" borderId="31" xfId="0" applyFont="1" applyFill="1" applyBorder="1" applyAlignment="1">
      <alignment horizontal="center" vertical="center"/>
    </xf>
    <xf numFmtId="0" fontId="96" fillId="0" borderId="29" xfId="0" applyFont="1" applyFill="1" applyBorder="1" applyAlignment="1">
      <alignment horizontal="center"/>
    </xf>
    <xf numFmtId="0" fontId="96" fillId="0" borderId="39" xfId="0" applyFont="1" applyFill="1" applyBorder="1" applyAlignment="1">
      <alignment horizontal="center"/>
    </xf>
    <xf numFmtId="0" fontId="96" fillId="0" borderId="40" xfId="0" applyFont="1" applyFill="1" applyBorder="1" applyAlignment="1">
      <alignment horizontal="center"/>
    </xf>
    <xf numFmtId="0" fontId="28" fillId="0" borderId="57" xfId="87" applyFont="1" applyBorder="1" applyAlignment="1">
      <alignment horizontal="center"/>
    </xf>
    <xf numFmtId="0" fontId="30" fillId="0" borderId="0" xfId="0" applyFont="1" applyAlignment="1">
      <alignment horizontal="center"/>
    </xf>
    <xf numFmtId="0" fontId="8" fillId="57" borderId="0" xfId="0" applyFont="1" applyFill="1" applyAlignment="1">
      <alignment horizontal="center"/>
    </xf>
    <xf numFmtId="0" fontId="102" fillId="57" borderId="0" xfId="0" applyFont="1" applyFill="1" applyAlignment="1">
      <alignment horizontal="center"/>
    </xf>
    <xf numFmtId="0" fontId="36" fillId="63" borderId="17" xfId="0" applyNumberFormat="1" applyFont="1" applyFill="1" applyBorder="1" applyAlignment="1" applyProtection="1">
      <alignment horizontal="center" wrapText="1"/>
    </xf>
    <xf numFmtId="0" fontId="36" fillId="63" borderId="21" xfId="0" applyNumberFormat="1" applyFont="1" applyFill="1" applyBorder="1" applyAlignment="1" applyProtection="1">
      <alignment horizontal="center" wrapText="1"/>
    </xf>
    <xf numFmtId="0" fontId="36" fillId="63" borderId="22" xfId="0" applyNumberFormat="1" applyFont="1" applyFill="1" applyBorder="1" applyAlignment="1" applyProtection="1">
      <alignment horizontal="center" wrapText="1"/>
    </xf>
    <xf numFmtId="0" fontId="0" fillId="52" borderId="0" xfId="0" applyFill="1" applyAlignment="1">
      <alignment horizontal="left" wrapText="1"/>
    </xf>
    <xf numFmtId="0" fontId="8" fillId="60" borderId="0" xfId="0" applyFont="1" applyFill="1" applyAlignment="1">
      <alignment horizontal="center"/>
    </xf>
    <xf numFmtId="0" fontId="70" fillId="0" borderId="16" xfId="0" applyFont="1" applyFill="1" applyBorder="1" applyAlignment="1">
      <alignment horizontal="center"/>
    </xf>
    <xf numFmtId="0" fontId="5" fillId="58" borderId="16" xfId="0" applyFont="1" applyFill="1" applyBorder="1" applyAlignment="1">
      <alignment horizontal="center" wrapText="1"/>
    </xf>
    <xf numFmtId="0" fontId="4" fillId="0" borderId="48" xfId="0" applyFont="1" applyFill="1" applyBorder="1" applyAlignment="1">
      <alignment horizontal="center"/>
    </xf>
    <xf numFmtId="0" fontId="4" fillId="0" borderId="61" xfId="0" applyFont="1" applyFill="1" applyBorder="1" applyAlignment="1">
      <alignment horizontal="center"/>
    </xf>
    <xf numFmtId="0" fontId="5" fillId="56" borderId="48" xfId="0" applyFont="1" applyFill="1" applyBorder="1" applyAlignment="1">
      <alignment horizontal="center" wrapText="1"/>
    </xf>
    <xf numFmtId="0" fontId="5" fillId="56" borderId="61" xfId="0" applyFont="1" applyFill="1" applyBorder="1" applyAlignment="1">
      <alignment horizontal="center" wrapText="1"/>
    </xf>
    <xf numFmtId="0" fontId="5" fillId="58" borderId="48" xfId="0" applyFont="1" applyFill="1" applyBorder="1" applyAlignment="1">
      <alignment horizontal="center" wrapText="1"/>
    </xf>
    <xf numFmtId="0" fontId="5" fillId="58" borderId="61" xfId="0" applyFont="1" applyFill="1" applyBorder="1" applyAlignment="1">
      <alignment horizontal="center" wrapText="1"/>
    </xf>
    <xf numFmtId="0" fontId="4" fillId="53" borderId="30" xfId="0" applyFont="1" applyFill="1" applyBorder="1" applyAlignment="1">
      <alignment horizontal="center"/>
    </xf>
    <xf numFmtId="0" fontId="4" fillId="53" borderId="58" xfId="0" applyFont="1" applyFill="1" applyBorder="1" applyAlignment="1">
      <alignment horizontal="center"/>
    </xf>
    <xf numFmtId="0" fontId="4" fillId="53" borderId="58" xfId="0" applyFont="1" applyFill="1" applyBorder="1" applyAlignment="1"/>
    <xf numFmtId="0" fontId="4" fillId="53" borderId="31" xfId="0" applyFont="1" applyFill="1" applyBorder="1" applyAlignment="1"/>
    <xf numFmtId="0" fontId="4" fillId="53" borderId="31" xfId="0" applyFont="1" applyFill="1" applyBorder="1" applyAlignment="1">
      <alignment horizontal="center"/>
    </xf>
    <xf numFmtId="169" fontId="4" fillId="53" borderId="30" xfId="0" applyNumberFormat="1" applyFont="1" applyFill="1" applyBorder="1" applyAlignment="1">
      <alignment horizontal="center"/>
    </xf>
    <xf numFmtId="169" fontId="4" fillId="53" borderId="58" xfId="0" applyNumberFormat="1" applyFont="1" applyFill="1" applyBorder="1" applyAlignment="1">
      <alignment horizontal="center"/>
    </xf>
    <xf numFmtId="169" fontId="4" fillId="53" borderId="31" xfId="0" applyNumberFormat="1" applyFont="1" applyFill="1" applyBorder="1" applyAlignment="1">
      <alignment horizontal="center"/>
    </xf>
    <xf numFmtId="0" fontId="32" fillId="0" borderId="30" xfId="0" applyFont="1" applyFill="1" applyBorder="1" applyAlignment="1">
      <alignment horizontal="center"/>
    </xf>
    <xf numFmtId="0" fontId="32" fillId="0" borderId="58" xfId="0" applyFont="1" applyFill="1" applyBorder="1" applyAlignment="1">
      <alignment horizontal="center"/>
    </xf>
    <xf numFmtId="0" fontId="32" fillId="0" borderId="31" xfId="0" applyFont="1" applyFill="1" applyBorder="1" applyAlignment="1">
      <alignment horizontal="center"/>
    </xf>
    <xf numFmtId="0" fontId="107" fillId="75" borderId="30" xfId="0" applyFont="1" applyFill="1" applyBorder="1" applyAlignment="1">
      <alignment horizontal="center"/>
    </xf>
    <xf numFmtId="0" fontId="107" fillId="75" borderId="58" xfId="0" applyFont="1" applyFill="1" applyBorder="1" applyAlignment="1">
      <alignment horizontal="center"/>
    </xf>
    <xf numFmtId="0" fontId="107" fillId="75" borderId="31" xfId="0" applyFont="1" applyFill="1" applyBorder="1" applyAlignment="1">
      <alignment horizontal="center"/>
    </xf>
    <xf numFmtId="0" fontId="4" fillId="53" borderId="29" xfId="0" applyFont="1" applyFill="1" applyBorder="1" applyAlignment="1">
      <alignment horizontal="center"/>
    </xf>
    <xf numFmtId="0" fontId="4" fillId="53" borderId="39" xfId="0" applyFont="1" applyFill="1" applyBorder="1" applyAlignment="1">
      <alignment horizontal="center"/>
    </xf>
    <xf numFmtId="0" fontId="4" fillId="53" borderId="40" xfId="0" applyFont="1" applyFill="1" applyBorder="1" applyAlignment="1">
      <alignment horizontal="center"/>
    </xf>
    <xf numFmtId="0" fontId="107" fillId="66" borderId="29" xfId="0" applyFont="1" applyFill="1" applyBorder="1" applyAlignment="1">
      <alignment horizontal="center"/>
    </xf>
    <xf numFmtId="0" fontId="107" fillId="66" borderId="39" xfId="0" applyFont="1" applyFill="1" applyBorder="1" applyAlignment="1">
      <alignment horizontal="center"/>
    </xf>
    <xf numFmtId="0" fontId="107" fillId="66" borderId="40" xfId="0" applyFont="1" applyFill="1" applyBorder="1" applyAlignment="1">
      <alignment horizontal="center"/>
    </xf>
    <xf numFmtId="0" fontId="32" fillId="0" borderId="30" xfId="0" applyFont="1" applyBorder="1" applyAlignment="1">
      <alignment horizontal="center"/>
    </xf>
    <xf numFmtId="0" fontId="32" fillId="0" borderId="58" xfId="0" applyFont="1" applyBorder="1" applyAlignment="1">
      <alignment horizontal="center"/>
    </xf>
    <xf numFmtId="0" fontId="32" fillId="0" borderId="31" xfId="0" applyFont="1" applyBorder="1" applyAlignment="1">
      <alignment horizontal="center"/>
    </xf>
    <xf numFmtId="0" fontId="5" fillId="56" borderId="63" xfId="0" applyFont="1" applyFill="1" applyBorder="1" applyAlignment="1">
      <alignment horizontal="center" wrapText="1"/>
    </xf>
    <xf numFmtId="0" fontId="5" fillId="58" borderId="63" xfId="0" applyFont="1" applyFill="1" applyBorder="1" applyAlignment="1">
      <alignment horizontal="center" wrapText="1"/>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4" fillId="0" borderId="63" xfId="0" applyFont="1" applyFill="1" applyBorder="1" applyAlignment="1">
      <alignment horizontal="center"/>
    </xf>
    <xf numFmtId="0" fontId="44" fillId="0" borderId="48" xfId="0" applyFont="1" applyFill="1" applyBorder="1" applyAlignment="1">
      <alignment horizontal="center"/>
    </xf>
    <xf numFmtId="0" fontId="44" fillId="0" borderId="61" xfId="0" applyFont="1" applyFill="1" applyBorder="1" applyAlignment="1">
      <alignment horizontal="center"/>
    </xf>
    <xf numFmtId="0" fontId="44" fillId="0" borderId="63" xfId="0" applyFont="1" applyFill="1" applyBorder="1" applyAlignment="1">
      <alignment horizontal="center"/>
    </xf>
    <xf numFmtId="0" fontId="4" fillId="53" borderId="48" xfId="0" applyFont="1" applyFill="1" applyBorder="1" applyAlignment="1">
      <alignment horizontal="center"/>
    </xf>
    <xf numFmtId="0" fontId="4" fillId="0" borderId="0" xfId="0" applyFont="1" applyFill="1" applyBorder="1" applyAlignment="1"/>
    <xf numFmtId="0" fontId="4" fillId="53" borderId="41" xfId="0" applyFont="1" applyFill="1" applyBorder="1" applyAlignment="1">
      <alignment horizontal="center"/>
    </xf>
    <xf numFmtId="0" fontId="4" fillId="53" borderId="47" xfId="0" applyFont="1" applyFill="1" applyBorder="1" applyAlignment="1">
      <alignment horizontal="center"/>
    </xf>
    <xf numFmtId="0" fontId="4" fillId="53" borderId="66" xfId="0" applyFont="1" applyFill="1" applyBorder="1" applyAlignment="1">
      <alignment horizontal="center"/>
    </xf>
    <xf numFmtId="0" fontId="4" fillId="53" borderId="37" xfId="0" applyFont="1" applyFill="1" applyBorder="1" applyAlignment="1">
      <alignment horizontal="center"/>
    </xf>
    <xf numFmtId="0" fontId="5" fillId="0" borderId="0" xfId="0" applyFont="1" applyFill="1" applyBorder="1" applyAlignment="1">
      <alignment horizontal="left" wrapText="1"/>
    </xf>
    <xf numFmtId="0" fontId="44" fillId="0" borderId="29" xfId="0" applyFont="1" applyBorder="1" applyAlignment="1">
      <alignment vertical="center" wrapText="1"/>
    </xf>
    <xf numFmtId="0" fontId="44" fillId="0" borderId="39" xfId="0" applyFont="1" applyBorder="1" applyAlignment="1">
      <alignment vertical="center" wrapText="1"/>
    </xf>
    <xf numFmtId="0" fontId="44" fillId="0" borderId="40" xfId="0" applyFont="1" applyBorder="1" applyAlignment="1">
      <alignment vertical="center" wrapText="1"/>
    </xf>
    <xf numFmtId="0" fontId="44" fillId="0" borderId="24" xfId="0" applyFont="1" applyBorder="1" applyAlignment="1">
      <alignment vertical="center" wrapText="1"/>
    </xf>
    <xf numFmtId="0" fontId="44" fillId="0" borderId="0" xfId="0" applyFont="1" applyBorder="1" applyAlignment="1">
      <alignment vertical="center" wrapText="1"/>
    </xf>
    <xf numFmtId="0" fontId="44" fillId="0" borderId="26" xfId="0" applyFont="1" applyBorder="1" applyAlignment="1">
      <alignment vertical="center" wrapText="1"/>
    </xf>
    <xf numFmtId="0" fontId="44" fillId="0" borderId="25" xfId="0" applyFont="1" applyBorder="1" applyAlignment="1">
      <alignment vertical="center" wrapText="1"/>
    </xf>
    <xf numFmtId="0" fontId="44" fillId="0" borderId="57" xfId="0" applyFont="1" applyBorder="1" applyAlignment="1">
      <alignment vertical="center" wrapText="1"/>
    </xf>
    <xf numFmtId="0" fontId="44" fillId="0" borderId="38" xfId="0" applyFont="1" applyBorder="1" applyAlignment="1">
      <alignment vertical="center" wrapText="1"/>
    </xf>
    <xf numFmtId="0" fontId="44" fillId="65" borderId="29" xfId="0" applyFont="1" applyFill="1" applyBorder="1" applyAlignment="1">
      <alignment vertical="top" wrapText="1"/>
    </xf>
    <xf numFmtId="0" fontId="44" fillId="65" borderId="39" xfId="0" applyFont="1" applyFill="1" applyBorder="1" applyAlignment="1">
      <alignment vertical="top" wrapText="1"/>
    </xf>
    <xf numFmtId="0" fontId="44" fillId="65" borderId="40" xfId="0" applyFont="1" applyFill="1" applyBorder="1" applyAlignment="1">
      <alignment vertical="top" wrapText="1"/>
    </xf>
    <xf numFmtId="0" fontId="44" fillId="65" borderId="24" xfId="0" applyFont="1" applyFill="1" applyBorder="1" applyAlignment="1">
      <alignment vertical="top" wrapText="1"/>
    </xf>
    <xf numFmtId="0" fontId="44" fillId="65" borderId="0" xfId="0" applyFont="1" applyFill="1" applyBorder="1" applyAlignment="1">
      <alignment vertical="top" wrapText="1"/>
    </xf>
    <xf numFmtId="0" fontId="44" fillId="65" borderId="26" xfId="0" applyFont="1" applyFill="1" applyBorder="1" applyAlignment="1">
      <alignment vertical="top" wrapText="1"/>
    </xf>
    <xf numFmtId="0" fontId="44" fillId="65" borderId="25" xfId="0" applyFont="1" applyFill="1" applyBorder="1" applyAlignment="1">
      <alignment vertical="top" wrapText="1"/>
    </xf>
    <xf numFmtId="0" fontId="44" fillId="65" borderId="57" xfId="0" applyFont="1" applyFill="1" applyBorder="1" applyAlignment="1">
      <alignment vertical="top" wrapText="1"/>
    </xf>
    <xf numFmtId="0" fontId="44" fillId="65" borderId="38" xfId="0" applyFont="1" applyFill="1" applyBorder="1" applyAlignment="1">
      <alignment vertical="top" wrapText="1"/>
    </xf>
    <xf numFmtId="0" fontId="33" fillId="56" borderId="0" xfId="0" applyNumberFormat="1" applyFont="1" applyFill="1" applyBorder="1" applyAlignment="1" applyProtection="1">
      <alignment horizontal="left" wrapText="1"/>
    </xf>
    <xf numFmtId="0" fontId="4" fillId="56" borderId="0" xfId="0" applyNumberFormat="1" applyFont="1" applyFill="1" applyBorder="1" applyAlignment="1" applyProtection="1">
      <alignment horizontal="left" wrapText="1"/>
    </xf>
    <xf numFmtId="0" fontId="4" fillId="52" borderId="10" xfId="0" applyFont="1" applyFill="1" applyBorder="1" applyAlignment="1">
      <alignment horizontal="left" wrapText="1"/>
    </xf>
    <xf numFmtId="0" fontId="4" fillId="52" borderId="11" xfId="0" applyFont="1" applyFill="1" applyBorder="1" applyAlignment="1">
      <alignment horizontal="left" wrapText="1"/>
    </xf>
    <xf numFmtId="0" fontId="4" fillId="52" borderId="19" xfId="0" applyFont="1" applyFill="1" applyBorder="1" applyAlignment="1">
      <alignment horizontal="left" wrapText="1"/>
    </xf>
    <xf numFmtId="0" fontId="4" fillId="52" borderId="12" xfId="0" applyFont="1" applyFill="1" applyBorder="1" applyAlignment="1">
      <alignment horizontal="left" wrapText="1"/>
    </xf>
    <xf numFmtId="0" fontId="4" fillId="52" borderId="0" xfId="0" applyFont="1" applyFill="1" applyBorder="1" applyAlignment="1">
      <alignment horizontal="left" wrapText="1"/>
    </xf>
    <xf numFmtId="0" fontId="4" fillId="52" borderId="20" xfId="0" applyFont="1" applyFill="1" applyBorder="1" applyAlignment="1">
      <alignment horizontal="left" wrapText="1"/>
    </xf>
    <xf numFmtId="0" fontId="4" fillId="52" borderId="13" xfId="0" applyFont="1" applyFill="1" applyBorder="1" applyAlignment="1">
      <alignment horizontal="left" wrapText="1"/>
    </xf>
    <xf numFmtId="0" fontId="4" fillId="52" borderId="14" xfId="0" applyFont="1" applyFill="1" applyBorder="1" applyAlignment="1">
      <alignment horizontal="left" wrapText="1"/>
    </xf>
    <xf numFmtId="0" fontId="4" fillId="52" borderId="15" xfId="0" applyFont="1" applyFill="1" applyBorder="1" applyAlignment="1">
      <alignment horizontal="left" wrapText="1"/>
    </xf>
  </cellXfs>
  <cellStyles count="10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2 2" xfId="57"/>
    <cellStyle name="Comma 3" xfId="58"/>
    <cellStyle name="Comma 3 2" xfId="59"/>
    <cellStyle name="Comma 4" xfId="60"/>
    <cellStyle name="Comma 5" xfId="61"/>
    <cellStyle name="Comma 5 2" xfId="62"/>
    <cellStyle name="Comma 6"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Hyperlink" xfId="76" builtinId="8"/>
    <cellStyle name="Hyperlink 2" xfId="77"/>
    <cellStyle name="Input" xfId="78" builtinId="20" customBuiltin="1"/>
    <cellStyle name="Input 2" xfId="79"/>
    <cellStyle name="Linked Cell" xfId="80" builtinId="24" customBuiltin="1"/>
    <cellStyle name="Linked Cell 2" xfId="81"/>
    <cellStyle name="Neutral" xfId="82" builtinId="28" customBuiltin="1"/>
    <cellStyle name="Neutral 2" xfId="83"/>
    <cellStyle name="Normal" xfId="0" builtinId="0"/>
    <cellStyle name="Normal 2" xfId="84"/>
    <cellStyle name="Normal 3" xfId="85"/>
    <cellStyle name="Normal 4" xfId="86"/>
    <cellStyle name="Normal_Gen and Load Data ISO and States 2000-2009 (2)" xfId="87"/>
    <cellStyle name="Note" xfId="88" builtinId="10" customBuiltin="1"/>
    <cellStyle name="Note 2" xfId="89"/>
    <cellStyle name="Output" xfId="90" builtinId="21" customBuiltin="1"/>
    <cellStyle name="Output 2" xfId="91"/>
    <cellStyle name="Percent" xfId="92" builtinId="5"/>
    <cellStyle name="Percent 2" xfId="93"/>
    <cellStyle name="Percent 3" xfId="94"/>
    <cellStyle name="Title" xfId="95" builtinId="15" customBuiltin="1"/>
    <cellStyle name="Title 2" xfId="96"/>
    <cellStyle name="Total" xfId="97" builtinId="25" customBuiltin="1"/>
    <cellStyle name="Total 2" xfId="98"/>
    <cellStyle name="Warning Text" xfId="99" builtinId="11" customBuiltin="1"/>
    <cellStyle name="Warning Text 2" xfId="100"/>
  </cellStyles>
  <dxfs count="92">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numFmt numFmtId="177" formatCode="0.00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7" formatCode="0.000"/>
    </dxf>
    <dxf>
      <font>
        <strike val="0"/>
        <outline val="0"/>
        <shadow val="0"/>
        <u val="none"/>
        <vertAlign val="baseline"/>
        <name val="Arial"/>
        <scheme val="none"/>
      </font>
    </dxf>
    <dxf>
      <font>
        <strike val="0"/>
        <outline val="0"/>
        <shadow val="0"/>
        <u val="none"/>
        <vertAlign val="baseline"/>
        <name val="Arial"/>
        <scheme val="none"/>
      </font>
      <numFmt numFmtId="170"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70"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70"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7" formatCode="0.000"/>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numFmt numFmtId="170"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990600</xdr:colOff>
      <xdr:row>93</xdr:row>
      <xdr:rowOff>69850</xdr:rowOff>
    </xdr:from>
    <xdr:to>
      <xdr:col>22</xdr:col>
      <xdr:colOff>533400</xdr:colOff>
      <xdr:row>130</xdr:row>
      <xdr:rowOff>114300</xdr:rowOff>
    </xdr:to>
    <xdr:pic>
      <xdr:nvPicPr>
        <xdr:cNvPr id="25664" name="Picture 2">
          <a:extLst>
            <a:ext uri="{FF2B5EF4-FFF2-40B4-BE49-F238E27FC236}">
              <a16:creationId xmlns:a16="http://schemas.microsoft.com/office/drawing/2014/main" id="{92174D1B-1B0B-42D9-BD22-FBD913455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9150" y="16713200"/>
          <a:ext cx="7816850" cy="904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1016000</xdr:colOff>
      <xdr:row>137</xdr:row>
      <xdr:rowOff>127000</xdr:rowOff>
    </xdr:from>
    <xdr:to>
      <xdr:col>22</xdr:col>
      <xdr:colOff>615950</xdr:colOff>
      <xdr:row>170</xdr:row>
      <xdr:rowOff>82550</xdr:rowOff>
    </xdr:to>
    <xdr:pic>
      <xdr:nvPicPr>
        <xdr:cNvPr id="25665" name="Picture 1">
          <a:extLst>
            <a:ext uri="{FF2B5EF4-FFF2-40B4-BE49-F238E27FC236}">
              <a16:creationId xmlns:a16="http://schemas.microsoft.com/office/drawing/2014/main" id="{79EE22F2-8712-408C-B0FC-A2EC43899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4550" y="27495500"/>
          <a:ext cx="7874000" cy="582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annrichardson/Download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id="1" name="Table2" displayName="Table2" ref="A14:H23" totalsRowShown="0" headerRowDxfId="81" dataDxfId="80">
  <tableColumns count="8">
    <tableColumn id="1" name="Fuel Types " dataDxfId="89"/>
    <tableColumn id="2" name="Into State - MSS Meter (MMBtu)" dataDxfId="88"/>
    <tableColumn id="3" name="Into State - IMP Meter (MMBtu)2" dataDxfId="87"/>
    <tableColumn id="4" name="Into State - NON Meter (MMBtu)" dataDxfId="86" dataCellStyle="Comma"/>
    <tableColumn id="5" name="Out of State -_x000a_MSS Meter _x000a_(MMBtu)" dataDxfId="85" dataCellStyle="Comma"/>
    <tableColumn id="6" name="*Form 923 trash split" dataDxfId="84" dataCellStyle="Comma"/>
    <tableColumn id="7" name="  -" dataDxfId="83" dataCellStyle="Comma"/>
    <tableColumn id="9" name="Net Heat Input from all GIS certificates (MMBtu)" dataDxfId="82" dataCellStyle="Comma"/>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26:H35" totalsRowShown="0" headerRowDxfId="71" dataDxfId="70">
  <autoFilter ref="A26:H35"/>
  <tableColumns count="8">
    <tableColumn id="1" name="Fuel Types " dataDxfId="79"/>
    <tableColumn id="2" name="Into State - MSS Meter (MMBtu)" dataDxfId="78"/>
    <tableColumn id="3" name="Into State - IMP Meter (MMBtu)2" dataDxfId="77"/>
    <tableColumn id="4" name="Into State - NON Meter (MMBtu)" dataDxfId="76"/>
    <tableColumn id="5" name="Out of State -_x000a_MSS Meter _x000a_(MMBtu)" dataDxfId="75"/>
    <tableColumn id="6" name="*Form 923 trash split" dataDxfId="74"/>
    <tableColumn id="7" name="  -" dataDxfId="73"/>
    <tableColumn id="8" name="Net Heat Input from all GIS certificates (MMBtu)" dataDxfId="72" dataCellStyle="Comma"/>
  </tableColumns>
  <tableStyleInfo name="TableStyleMedium9" showFirstColumn="0" showLastColumn="0" showRowStripes="1" showColumnStripes="0"/>
</table>
</file>

<file path=xl/tables/table3.xml><?xml version="1.0" encoding="utf-8"?>
<table xmlns="http://schemas.openxmlformats.org/spreadsheetml/2006/main" id="3" name="Table4" displayName="Table4" ref="A38:H47" totalsRowShown="0" headerRowDxfId="61" dataDxfId="60">
  <autoFilter ref="A38:H47"/>
  <tableColumns count="8">
    <tableColumn id="1" name="Fuel Types " dataDxfId="69"/>
    <tableColumn id="2" name="Into State - MSS Meter (MMBtu)" dataDxfId="68"/>
    <tableColumn id="3" name="Into State - IMP Meter (MMBtu)2" dataDxfId="67"/>
    <tableColumn id="4" name="Into State - NON Meter (MMBtu)" dataDxfId="66"/>
    <tableColumn id="5" name="Out of State -_x000a_MSS Meter _x000a_(MMBtu)" dataDxfId="65"/>
    <tableColumn id="6" name="*Form 923 trash split" dataDxfId="64"/>
    <tableColumn id="7" name="  -" dataDxfId="63"/>
    <tableColumn id="8" name="Net Heat Input from all GIS certificates (MMBtu)" dataDxfId="62" dataCellStyle="Comma"/>
  </tableColumns>
  <tableStyleInfo name="TableStyleMedium9" showFirstColumn="0" showLastColumn="0" showRowStripes="1" showColumnStripes="0"/>
</table>
</file>

<file path=xl/tables/table4.xml><?xml version="1.0" encoding="utf-8"?>
<table xmlns="http://schemas.openxmlformats.org/spreadsheetml/2006/main" id="4" name="Table5" displayName="Table5" ref="A50:H59" totalsRowShown="0" headerRowDxfId="51" dataDxfId="50">
  <autoFilter ref="A50:H59"/>
  <tableColumns count="8">
    <tableColumn id="1" name="Fuel Types " dataDxfId="59"/>
    <tableColumn id="2" name="Into State - MSS Meter (MMBtu)" dataDxfId="58" dataCellStyle="Comma"/>
    <tableColumn id="3" name="Into State - IMP Meter (MMBtu)2" dataDxfId="57" dataCellStyle="Comma"/>
    <tableColumn id="4" name="Into State - NON Meter (MMBtu)" dataDxfId="56" dataCellStyle="Comma"/>
    <tableColumn id="5" name="Out of State -_x000a_MSS Meter _x000a_(MMBtu)" dataDxfId="55" dataCellStyle="Comma"/>
    <tableColumn id="6" name="*Form 923 trash split" dataDxfId="54"/>
    <tableColumn id="7" name="  -" dataDxfId="53" dataCellStyle="Comma"/>
    <tableColumn id="8" name="Net Heat Input from all GIS certificates (MMBtu)" dataDxfId="52" dataCellStyle="Comma"/>
  </tableColumns>
  <tableStyleInfo name="TableStyleMedium9" showFirstColumn="0" showLastColumn="0" showRowStripes="1" showColumnStripes="0"/>
</table>
</file>

<file path=xl/tables/table5.xml><?xml version="1.0" encoding="utf-8"?>
<table xmlns="http://schemas.openxmlformats.org/spreadsheetml/2006/main" id="5" name="Table6" displayName="Table6" ref="A62:H71" totalsRowShown="0" headerRowDxfId="41" dataDxfId="40">
  <autoFilter ref="A62:H71"/>
  <tableColumns count="8">
    <tableColumn id="1" name="Fuel Types " dataDxfId="49"/>
    <tableColumn id="2" name="Into State - MSS Meter (MMBtu)" dataDxfId="48" dataCellStyle="Comma"/>
    <tableColumn id="3" name="Into State - IMP Meter (MMBtu)2" dataDxfId="47" dataCellStyle="Comma"/>
    <tableColumn id="4" name="Into State - NON Meter (MMBtu)" dataDxfId="46" dataCellStyle="Comma"/>
    <tableColumn id="5" name="Out of State -_x000a_MSS Meter _x000a_(MMBtu)" dataDxfId="45" dataCellStyle="Comma"/>
    <tableColumn id="6" name="*Form 923 trash split" dataDxfId="44"/>
    <tableColumn id="7" name="  -" dataDxfId="43" dataCellStyle="Comma"/>
    <tableColumn id="8" name="Net Heat Input from all GIS certificates (MMBtu)" dataDxfId="42" dataCellStyle="Comma"/>
  </tableColumns>
  <tableStyleInfo name="TableStyleMedium9" showFirstColumn="0" showLastColumn="0" showRowStripes="1" showColumnStripes="0"/>
</table>
</file>

<file path=xl/tables/table6.xml><?xml version="1.0" encoding="utf-8"?>
<table xmlns="http://schemas.openxmlformats.org/spreadsheetml/2006/main" id="6" name="Table7" displayName="Table7" ref="A74:H83" totalsRowShown="0" headerRowDxfId="31" dataDxfId="30">
  <autoFilter ref="A74:H83"/>
  <tableColumns count="8">
    <tableColumn id="1" name="Fuel Types " dataDxfId="39"/>
    <tableColumn id="2" name="Into State - MSS Meter (MMBtu)" dataDxfId="38" dataCellStyle="Comma"/>
    <tableColumn id="3" name="Into State - IMP Meter (MMBtu)2" dataDxfId="37" dataCellStyle="Comma"/>
    <tableColumn id="4" name="Into State - NON Meter (MMBtu)" dataDxfId="36" dataCellStyle="Comma"/>
    <tableColumn id="5" name="Out of State -_x000a_MSS Meter _x000a_(MMBtu)" dataDxfId="35" dataCellStyle="Comma"/>
    <tableColumn id="6" name="*Form 923 trash split" dataDxfId="34"/>
    <tableColumn id="7" name="  -" dataDxfId="33" dataCellStyle="Comma"/>
    <tableColumn id="8" name="Net Heat Input from all GIS certificates (MMBtu)" dataDxfId="32" dataCellStyle="Comma"/>
  </tableColumns>
  <tableStyleInfo name="TableStyleMedium9" showFirstColumn="0" showLastColumn="0" showRowStripes="1" showColumnStripes="0"/>
</table>
</file>

<file path=xl/tables/table7.xml><?xml version="1.0" encoding="utf-8"?>
<table xmlns="http://schemas.openxmlformats.org/spreadsheetml/2006/main" id="7" name="Table9" displayName="Table9" ref="A86:H95" totalsRowShown="0" headerRowDxfId="21" dataDxfId="20">
  <autoFilter ref="A86:H95"/>
  <tableColumns count="8">
    <tableColumn id="1" name="Fuel Types " dataDxfId="29"/>
    <tableColumn id="2" name=" - " dataDxfId="28"/>
    <tableColumn id="3" name="  - " dataDxfId="27"/>
    <tableColumn id="4" name="-" dataDxfId="26"/>
    <tableColumn id="5" name="Out of State -_x000a_IMP Meter _x000a_(MMBtu)" dataDxfId="25" dataCellStyle="Comma"/>
    <tableColumn id="6" name="*Form 923 trash split" dataDxfId="24"/>
    <tableColumn id="7" name="  -" dataDxfId="23"/>
    <tableColumn id="8" name="Net Heat Input from all GIS certificates (MMBtu)" dataDxfId="22" dataCellStyle="Comma"/>
  </tableColumns>
  <tableStyleInfo name="TableStyleMedium9" showFirstColumn="0" showLastColumn="0" showRowStripes="1" showColumnStripes="0"/>
</table>
</file>

<file path=xl/tables/table8.xml><?xml version="1.0" encoding="utf-8"?>
<table xmlns="http://schemas.openxmlformats.org/spreadsheetml/2006/main" id="8" name="Table10" displayName="Table10" ref="A98:H107" totalsRowShown="0" headerRowDxfId="11" dataDxfId="10">
  <autoFilter ref="A98:H107"/>
  <tableColumns count="8">
    <tableColumn id="1" name="Fuel Types " dataDxfId="19"/>
    <tableColumn id="2" name=" - " dataDxfId="18"/>
    <tableColumn id="3" name="  - " dataDxfId="17"/>
    <tableColumn id="4" name="-" dataDxfId="16"/>
    <tableColumn id="5" name="Out of Province_x000a_IMP Meter _x000a_(MMBtu)" dataDxfId="15"/>
    <tableColumn id="6" name="*Form 923 trash split" dataDxfId="14"/>
    <tableColumn id="7" name="  -" dataDxfId="13"/>
    <tableColumn id="8" name="Net Heat Input from all GIS certificates (MMBtu)" dataDxfId="12" dataCellStyle="Comma"/>
  </tableColumns>
  <tableStyleInfo name="TableStyleMedium9" showFirstColumn="0" showLastColumn="0" showRowStripes="1" showColumnStripes="0"/>
</table>
</file>

<file path=xl/tables/table9.xml><?xml version="1.0" encoding="utf-8"?>
<table xmlns="http://schemas.openxmlformats.org/spreadsheetml/2006/main" id="9" name="Table29" displayName="Table29" ref="A110:H119" totalsRowShown="0" headerRowDxfId="1" dataDxfId="0">
  <autoFilter ref="A110:H119"/>
  <tableColumns count="8">
    <tableColumn id="1" name="Fuel Types " dataDxfId="9"/>
    <tableColumn id="2" name=" - " dataDxfId="8"/>
    <tableColumn id="3" name="  - " dataDxfId="7"/>
    <tableColumn id="4" name="-" dataDxfId="6"/>
    <tableColumn id="5" name="Out of Province_x000a_IMP Meter _x000a_(MMBtu)" dataDxfId="5"/>
    <tableColumn id="6" name="*Form 923 trash split" dataDxfId="4"/>
    <tableColumn id="7" name="  -" dataDxfId="3"/>
    <tableColumn id="8" name="Net Heat Input from all GIS certificates (MMBtu)" dataDxfId="2"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nyiso.com/documents/20142/2226333/2019-Gold-Book-Final-Public.pdf/" TargetMode="External"/><Relationship Id="rId1" Type="http://schemas.openxmlformats.org/officeDocument/2006/relationships/hyperlink" Target="https://www150.statcan.gc.ca/t1/tbl1/en/tv.action?pid=2510002001&amp;pickMembers%5B0%5D=1.1&amp;pickMembers%5B1%5D=3.1"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ia.gov/electricity/data/eia923/"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ampd.epa.gov/ampd/"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gpo.gov/fdsys/pkg/CFR-2014-title40-vol21/pdf/CFR-2014-title40-vol21-part98-subpartC-appC.pdf" TargetMode="External"/><Relationship Id="rId7" Type="http://schemas.openxmlformats.org/officeDocument/2006/relationships/vmlDrawing" Target="../drawings/vmlDrawing5.vml"/><Relationship Id="rId2" Type="http://schemas.openxmlformats.org/officeDocument/2006/relationships/hyperlink" Target="http://www.gpo.gov/fdsys/pkg/CFR-2014-title40-vol21/pdf/CFR-2014-title40-vol21-part98-subpartC-appC-id656.pdf"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drawing" Target="../drawings/drawing1.xml"/><Relationship Id="rId5" Type="http://schemas.openxmlformats.org/officeDocument/2006/relationships/hyperlink" Target="https://www.epa.gov/sites/production/files/2015-07/documents/catalog_of_chp_technologies_section_6._technology_characterization_-_fuel_cells.pdf" TargetMode="External"/><Relationship Id="rId4" Type="http://schemas.openxmlformats.org/officeDocument/2006/relationships/hyperlink" Target="http://www.eia.gov/electricity/an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S65"/>
  <sheetViews>
    <sheetView tabSelected="1" zoomScaleNormal="100" workbookViewId="0">
      <selection activeCell="J13" sqref="J13"/>
    </sheetView>
  </sheetViews>
  <sheetFormatPr defaultColWidth="9.1796875" defaultRowHeight="13"/>
  <cols>
    <col min="1" max="1" width="3.453125" style="132" customWidth="1"/>
    <col min="2" max="2" width="4.6328125" style="132" customWidth="1"/>
    <col min="3" max="3" width="8.1796875" style="132" customWidth="1"/>
    <col min="4" max="4" width="17.81640625" style="132" customWidth="1"/>
    <col min="5" max="5" width="17" style="132" customWidth="1"/>
    <col min="6" max="6" width="16.81640625" style="132" customWidth="1"/>
    <col min="7" max="7" width="19.36328125" style="132" customWidth="1"/>
    <col min="8" max="8" width="18.453125" style="132" customWidth="1"/>
    <col min="9" max="9" width="21.81640625" style="132" customWidth="1"/>
    <col min="10" max="10" width="17.6328125" style="132" customWidth="1"/>
    <col min="11" max="11" width="22.7265625" style="132" customWidth="1"/>
    <col min="12" max="12" width="24.81640625" style="132" customWidth="1"/>
    <col min="13" max="13" width="13" style="132" customWidth="1"/>
    <col min="14" max="14" width="20.453125" style="132" customWidth="1"/>
    <col min="15" max="15" width="19.1796875" style="132" customWidth="1"/>
    <col min="16" max="16" width="27.08984375" style="132" customWidth="1"/>
    <col min="17" max="17" width="19.453125" style="132" customWidth="1"/>
    <col min="18" max="18" width="19.1796875" style="132" customWidth="1"/>
    <col min="19" max="19" width="17.81640625" style="132" customWidth="1"/>
    <col min="20" max="20" width="18.36328125" style="132" customWidth="1"/>
    <col min="21" max="21" width="16.453125" style="132" customWidth="1"/>
    <col min="22" max="22" width="18.453125" style="132" customWidth="1"/>
    <col min="23" max="23" width="15.453125" style="132" customWidth="1"/>
    <col min="24" max="24" width="13.453125" style="132" customWidth="1"/>
    <col min="25" max="25" width="15.36328125" style="132" customWidth="1"/>
    <col min="26" max="26" width="12" style="132" customWidth="1"/>
    <col min="27" max="27" width="15" style="132" customWidth="1"/>
    <col min="28" max="28" width="14.453125" style="132" customWidth="1"/>
    <col min="29" max="29" width="13.453125" style="132" customWidth="1"/>
    <col min="30" max="30" width="12" style="132" customWidth="1"/>
    <col min="31" max="31" width="9" style="132" customWidth="1"/>
    <col min="32" max="32" width="12.36328125" style="132" customWidth="1"/>
    <col min="33" max="33" width="12.81640625" style="132" customWidth="1"/>
    <col min="34" max="34" width="15" style="132" customWidth="1"/>
    <col min="35" max="35" width="12.6328125" style="132" customWidth="1"/>
    <col min="36" max="36" width="16.81640625" style="132" customWidth="1"/>
    <col min="37" max="37" width="14.453125" style="132" customWidth="1"/>
    <col min="38" max="38" width="17.1796875" style="132" customWidth="1"/>
    <col min="39" max="39" width="14.453125" style="132" customWidth="1"/>
    <col min="40" max="40" width="7.1796875" style="132" customWidth="1"/>
    <col min="41" max="41" width="13.36328125" style="132" customWidth="1"/>
    <col min="42" max="42" width="11.81640625" style="132" customWidth="1"/>
    <col min="43" max="43" width="14" style="132" customWidth="1"/>
    <col min="44" max="44" width="12.81640625" style="132" customWidth="1"/>
    <col min="45" max="45" width="10.453125" style="132" customWidth="1"/>
    <col min="46" max="46" width="12.6328125" style="132" customWidth="1"/>
    <col min="47" max="47" width="12.453125" style="132" customWidth="1"/>
    <col min="48" max="48" width="12.81640625" style="132" customWidth="1"/>
    <col min="49" max="49" width="9" style="132" customWidth="1"/>
    <col min="50" max="50" width="13.1796875" style="132" customWidth="1"/>
    <col min="51" max="51" width="12.453125" style="132" customWidth="1"/>
    <col min="52" max="52" width="12.1796875" style="132" customWidth="1"/>
    <col min="53" max="53" width="11" style="132" customWidth="1"/>
    <col min="54" max="54" width="10.1796875" style="132" customWidth="1"/>
    <col min="55" max="55" width="15.36328125" style="132" customWidth="1"/>
    <col min="56" max="56" width="14.453125" style="132" customWidth="1"/>
    <col min="57" max="57" width="13.453125" style="132" customWidth="1"/>
    <col min="58" max="58" width="7.81640625" style="132" customWidth="1"/>
    <col min="59" max="59" width="10.6328125" style="132" customWidth="1"/>
    <col min="60" max="60" width="9.81640625" style="132" bestFit="1" customWidth="1"/>
    <col min="61" max="63" width="9.81640625" style="132" customWidth="1"/>
    <col min="64" max="64" width="14.1796875" style="132" customWidth="1"/>
    <col min="65" max="65" width="14.453125" style="132" customWidth="1"/>
    <col min="66" max="66" width="11.6328125" style="132" customWidth="1"/>
    <col min="67" max="67" width="8.1796875" style="132" customWidth="1"/>
    <col min="68" max="68" width="5.6328125" style="132" customWidth="1"/>
    <col min="69" max="69" width="6.81640625" style="132" customWidth="1"/>
    <col min="70" max="70" width="12" style="132" customWidth="1"/>
    <col min="71" max="71" width="13.6328125" style="132" customWidth="1"/>
    <col min="72" max="72" width="11.453125" style="132" customWidth="1"/>
    <col min="73" max="73" width="10.6328125" style="132" customWidth="1"/>
    <col min="74" max="74" width="15" style="132" customWidth="1"/>
    <col min="75" max="75" width="13.81640625" style="132" customWidth="1"/>
    <col min="76" max="76" width="13.453125" style="132" customWidth="1"/>
    <col min="77" max="77" width="7.6328125" style="132" customWidth="1"/>
    <col min="78" max="78" width="14.81640625" style="132" customWidth="1"/>
    <col min="79" max="79" width="15.1796875" style="132" customWidth="1"/>
    <col min="80" max="80" width="12" style="132" customWidth="1"/>
    <col min="81" max="81" width="16" style="132" customWidth="1"/>
    <col min="82" max="82" width="15.453125" style="132" customWidth="1"/>
    <col min="83" max="83" width="7.453125" style="132" customWidth="1"/>
    <col min="84" max="84" width="15" style="132" customWidth="1"/>
    <col min="85" max="85" width="12.453125" style="132" customWidth="1"/>
    <col min="86" max="87" width="12.81640625" style="132" customWidth="1"/>
    <col min="88" max="88" width="14.453125" style="132" customWidth="1"/>
    <col min="89" max="89" width="6.81640625" style="132" customWidth="1"/>
    <col min="90" max="90" width="5.6328125" style="132" customWidth="1"/>
    <col min="91" max="91" width="8.6328125" style="132" customWidth="1"/>
    <col min="92" max="92" width="15.453125" style="132" customWidth="1"/>
    <col min="93" max="95" width="14.1796875" style="132" customWidth="1"/>
    <col min="96" max="96" width="12.1796875" style="132" customWidth="1"/>
    <col min="97" max="97" width="16.1796875" style="132" customWidth="1"/>
    <col min="98" max="98" width="18.453125" style="132" customWidth="1"/>
    <col min="99" max="99" width="21.1796875" style="132" customWidth="1"/>
    <col min="100" max="100" width="6.1796875" style="132" customWidth="1"/>
    <col min="101" max="101" width="10.453125" style="132" customWidth="1"/>
    <col min="102" max="102" width="10" style="132" customWidth="1"/>
    <col min="103" max="103" width="11" style="132" bestFit="1" customWidth="1"/>
    <col min="104" max="104" width="9.1796875" style="132"/>
    <col min="105" max="105" width="12.36328125" style="132" customWidth="1"/>
    <col min="106" max="106" width="11.1796875" style="132" bestFit="1" customWidth="1"/>
    <col min="107" max="107" width="8.1796875" style="132" customWidth="1"/>
    <col min="108" max="108" width="13.81640625" style="132" customWidth="1"/>
    <col min="109" max="16384" width="9.1796875" style="132"/>
  </cols>
  <sheetData>
    <row r="1" spans="2:90" ht="16.5" customHeight="1" thickBot="1">
      <c r="B1" s="326"/>
      <c r="C1" s="326"/>
      <c r="D1" s="326"/>
      <c r="E1" s="326"/>
      <c r="F1" s="326"/>
      <c r="G1" s="327"/>
      <c r="H1" s="327"/>
      <c r="I1" s="328"/>
      <c r="J1" s="328"/>
      <c r="K1" s="328"/>
      <c r="M1" s="329"/>
      <c r="N1" s="329"/>
      <c r="O1" s="329"/>
      <c r="P1" s="329"/>
      <c r="Q1" s="330"/>
      <c r="R1" s="329"/>
      <c r="S1" s="329"/>
      <c r="T1" s="326"/>
      <c r="U1" s="326"/>
      <c r="V1" s="326"/>
      <c r="W1" s="326"/>
      <c r="X1" s="326"/>
      <c r="Y1" s="326"/>
      <c r="Z1" s="326"/>
      <c r="AA1" s="327"/>
      <c r="AB1" s="326"/>
      <c r="AC1" s="326"/>
      <c r="AD1" s="326"/>
      <c r="AE1" s="326"/>
      <c r="AF1" s="326"/>
      <c r="AG1" s="331"/>
      <c r="AH1" s="326"/>
      <c r="AI1" s="326"/>
      <c r="AJ1" s="326"/>
      <c r="AK1" s="329"/>
      <c r="AL1" s="329"/>
      <c r="AM1" s="329"/>
      <c r="AN1" s="329"/>
      <c r="AO1" s="329"/>
      <c r="AP1" s="329"/>
      <c r="AQ1" s="329"/>
      <c r="AR1" s="329"/>
      <c r="AS1" s="329"/>
      <c r="AT1" s="329"/>
      <c r="AU1" s="329"/>
      <c r="AV1" s="326"/>
      <c r="AW1" s="326"/>
      <c r="AX1" s="327"/>
      <c r="AY1" s="327"/>
      <c r="AZ1" s="327"/>
      <c r="BA1" s="326"/>
      <c r="BB1" s="326"/>
      <c r="BC1" s="326"/>
      <c r="BD1" s="331"/>
      <c r="BE1" s="326"/>
      <c r="BF1" s="326"/>
      <c r="BG1" s="326"/>
      <c r="BH1" s="326"/>
      <c r="BI1" s="326"/>
      <c r="BJ1" s="326"/>
      <c r="BK1" s="326"/>
      <c r="BL1" s="326"/>
      <c r="BM1" s="326"/>
      <c r="BN1" s="326"/>
      <c r="BO1" s="326"/>
      <c r="BP1" s="326"/>
      <c r="BQ1" s="327"/>
      <c r="BR1" s="327"/>
      <c r="BS1" s="327"/>
      <c r="BT1" s="326"/>
      <c r="BU1" s="326"/>
      <c r="BV1" s="326"/>
      <c r="BW1" s="326"/>
      <c r="BX1" s="326"/>
      <c r="BY1" s="326"/>
      <c r="BZ1" s="332"/>
      <c r="CA1" s="332"/>
      <c r="CB1" s="332"/>
      <c r="CC1" s="332"/>
      <c r="CD1" s="332"/>
      <c r="CE1" s="332"/>
      <c r="CF1" s="332"/>
      <c r="CG1" s="332"/>
      <c r="CH1" s="332"/>
      <c r="CI1" s="332"/>
    </row>
    <row r="2" spans="2:90" ht="15.75" customHeight="1">
      <c r="B2" s="326"/>
      <c r="C2" s="822" t="s">
        <v>3283</v>
      </c>
      <c r="D2" s="823"/>
      <c r="E2" s="823"/>
      <c r="F2" s="823"/>
      <c r="G2" s="823"/>
      <c r="H2" s="824"/>
      <c r="I2" s="734"/>
      <c r="J2" s="734"/>
      <c r="K2" s="734"/>
      <c r="L2" s="734"/>
      <c r="M2" s="734"/>
      <c r="N2" s="329"/>
      <c r="O2" s="329"/>
      <c r="P2" s="329"/>
      <c r="Q2" s="330"/>
      <c r="R2" s="329"/>
      <c r="S2" s="329"/>
      <c r="T2" s="326"/>
      <c r="U2" s="326"/>
      <c r="V2" s="326"/>
      <c r="AC2" s="326"/>
      <c r="AD2" s="326"/>
      <c r="AE2" s="326"/>
      <c r="AF2" s="326"/>
      <c r="AG2" s="331"/>
      <c r="AH2" s="326"/>
      <c r="AI2" s="326"/>
      <c r="AJ2" s="326"/>
      <c r="AK2" s="329"/>
      <c r="AL2" s="329"/>
      <c r="AM2" s="329"/>
      <c r="AN2" s="329"/>
      <c r="AO2" s="329"/>
      <c r="AP2" s="329"/>
      <c r="AQ2" s="329"/>
      <c r="AR2" s="329"/>
      <c r="AS2" s="329"/>
      <c r="AT2" s="329"/>
      <c r="AU2" s="329"/>
      <c r="AV2" s="326"/>
      <c r="AW2" s="326"/>
      <c r="AX2" s="327"/>
      <c r="AY2" s="327"/>
      <c r="AZ2" s="327"/>
      <c r="BA2" s="326"/>
      <c r="BB2" s="326"/>
      <c r="BC2" s="326"/>
      <c r="BD2" s="331"/>
      <c r="BE2" s="326"/>
      <c r="BF2" s="326"/>
      <c r="BG2" s="326"/>
      <c r="BH2" s="326"/>
      <c r="BI2" s="326"/>
      <c r="BJ2" s="326"/>
      <c r="BK2" s="326"/>
      <c r="BL2" s="326"/>
      <c r="BM2" s="326"/>
      <c r="BN2" s="326"/>
      <c r="BO2" s="326"/>
      <c r="BP2" s="326"/>
      <c r="BQ2" s="327"/>
      <c r="BR2" s="327"/>
      <c r="BS2" s="327"/>
      <c r="BT2" s="326"/>
      <c r="BU2" s="326"/>
      <c r="BV2" s="326"/>
      <c r="BW2" s="326"/>
      <c r="BX2" s="326"/>
      <c r="BY2" s="326"/>
      <c r="BZ2" s="333"/>
      <c r="CA2" s="333"/>
      <c r="CB2" s="333"/>
      <c r="CC2" s="333"/>
      <c r="CD2" s="333"/>
      <c r="CE2" s="333"/>
      <c r="CF2" s="333"/>
      <c r="CG2" s="333"/>
      <c r="CH2" s="332"/>
      <c r="CI2" s="332"/>
    </row>
    <row r="3" spans="2:90" ht="15" customHeight="1">
      <c r="B3" s="326"/>
      <c r="C3" s="825"/>
      <c r="D3" s="826"/>
      <c r="E3" s="826"/>
      <c r="F3" s="826"/>
      <c r="G3" s="826"/>
      <c r="H3" s="827"/>
      <c r="I3" s="734"/>
      <c r="J3" s="734"/>
      <c r="K3" s="734"/>
      <c r="L3" s="734"/>
      <c r="M3" s="734"/>
      <c r="N3" s="329"/>
      <c r="O3" s="329"/>
      <c r="P3" s="329"/>
      <c r="Q3" s="329"/>
      <c r="R3" s="329"/>
      <c r="S3" s="329"/>
      <c r="T3" s="326"/>
      <c r="U3" s="326"/>
      <c r="V3" s="326"/>
      <c r="AC3" s="326"/>
      <c r="AD3" s="326"/>
      <c r="AE3" s="326"/>
      <c r="AF3" s="326"/>
      <c r="AG3" s="331"/>
      <c r="AH3" s="326"/>
      <c r="AI3" s="326"/>
      <c r="AJ3" s="326"/>
      <c r="AK3" s="329"/>
      <c r="AL3" s="329"/>
      <c r="AM3" s="329"/>
      <c r="AN3" s="329"/>
      <c r="AO3" s="329"/>
      <c r="AP3" s="329"/>
      <c r="AQ3" s="329"/>
      <c r="AR3" s="329"/>
      <c r="AS3" s="329"/>
      <c r="AT3" s="329"/>
      <c r="AU3" s="329"/>
      <c r="AV3" s="326"/>
      <c r="AW3" s="326"/>
      <c r="AX3" s="326"/>
      <c r="AY3" s="326"/>
      <c r="AZ3" s="326"/>
      <c r="BA3" s="326"/>
      <c r="BB3" s="326"/>
      <c r="BC3" s="326"/>
      <c r="BD3" s="331"/>
      <c r="BE3" s="326"/>
      <c r="BF3" s="326"/>
      <c r="BG3" s="326"/>
      <c r="BH3" s="326"/>
      <c r="BI3" s="326"/>
      <c r="BJ3" s="326"/>
      <c r="BK3" s="326"/>
      <c r="BL3" s="326"/>
      <c r="BM3" s="326"/>
      <c r="BN3" s="326"/>
      <c r="BO3" s="326"/>
      <c r="BP3" s="326"/>
      <c r="BQ3" s="326"/>
      <c r="BR3" s="326"/>
      <c r="BS3" s="326"/>
      <c r="BT3" s="326"/>
      <c r="BU3" s="326"/>
      <c r="BV3" s="326"/>
      <c r="BW3" s="326"/>
      <c r="BX3" s="326"/>
      <c r="BY3" s="326"/>
      <c r="BZ3" s="229"/>
      <c r="CA3" s="229"/>
      <c r="CB3" s="229"/>
      <c r="CC3" s="229"/>
      <c r="CD3" s="229"/>
      <c r="CE3" s="229"/>
      <c r="CF3" s="229"/>
      <c r="CG3" s="229"/>
      <c r="CH3" s="332"/>
      <c r="CI3" s="332"/>
    </row>
    <row r="4" spans="2:90" ht="15.75" customHeight="1" thickBot="1">
      <c r="B4" s="326"/>
      <c r="C4" s="828"/>
      <c r="D4" s="829"/>
      <c r="E4" s="829"/>
      <c r="F4" s="829"/>
      <c r="G4" s="829"/>
      <c r="H4" s="830"/>
      <c r="I4" s="734"/>
      <c r="J4" s="734"/>
      <c r="K4" s="734"/>
      <c r="L4" s="734"/>
      <c r="M4" s="734"/>
      <c r="N4" s="329"/>
      <c r="O4" s="329"/>
      <c r="P4" s="329"/>
      <c r="Q4" s="329"/>
      <c r="R4" s="329"/>
      <c r="S4" s="329"/>
      <c r="T4" s="326"/>
      <c r="U4" s="326"/>
      <c r="V4" s="326"/>
      <c r="AC4" s="326"/>
      <c r="AD4" s="326"/>
      <c r="AE4" s="326"/>
      <c r="AF4" s="326"/>
      <c r="AG4" s="326"/>
      <c r="AH4" s="326"/>
      <c r="AI4" s="326"/>
      <c r="AJ4" s="326"/>
      <c r="AK4" s="329"/>
      <c r="AL4" s="329"/>
      <c r="AM4" s="329"/>
      <c r="AN4" s="329"/>
      <c r="AO4" s="329"/>
      <c r="AP4" s="329"/>
      <c r="AQ4" s="329"/>
      <c r="AR4" s="329"/>
      <c r="AS4" s="329"/>
      <c r="AT4" s="329"/>
      <c r="AU4" s="329"/>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58"/>
      <c r="CA4" s="229"/>
      <c r="CB4" s="229"/>
      <c r="CC4" s="229"/>
      <c r="CD4" s="229"/>
      <c r="CE4" s="229"/>
      <c r="CF4" s="229"/>
      <c r="CG4" s="229"/>
      <c r="CH4" s="332"/>
      <c r="CI4" s="332"/>
    </row>
    <row r="5" spans="2:90" ht="13.5" customHeight="1">
      <c r="B5" s="326"/>
      <c r="C5" s="326"/>
      <c r="D5" s="326"/>
      <c r="E5" s="326"/>
      <c r="F5" s="326"/>
      <c r="G5" s="334"/>
      <c r="H5" s="334"/>
      <c r="T5" s="326"/>
      <c r="U5" s="326"/>
      <c r="V5" s="326"/>
      <c r="AC5" s="326"/>
      <c r="AD5" s="326"/>
      <c r="AE5" s="326"/>
      <c r="AF5" s="326"/>
      <c r="AG5" s="331"/>
      <c r="AH5" s="326"/>
      <c r="AI5" s="326"/>
      <c r="AJ5" s="326"/>
      <c r="AK5" s="329"/>
      <c r="AL5" s="329"/>
      <c r="AM5" s="329"/>
      <c r="AN5" s="329"/>
      <c r="AO5" s="329"/>
      <c r="AP5" s="329"/>
      <c r="AQ5" s="329"/>
      <c r="AR5" s="329"/>
      <c r="AS5" s="329"/>
      <c r="AT5" s="329"/>
      <c r="AU5" s="329"/>
      <c r="AV5" s="326"/>
      <c r="AW5" s="326"/>
      <c r="AX5" s="334"/>
      <c r="AY5" s="334"/>
      <c r="AZ5" s="334"/>
      <c r="BA5" s="326"/>
      <c r="BB5" s="326"/>
      <c r="BC5" s="326"/>
      <c r="BD5" s="331"/>
      <c r="BE5" s="326"/>
      <c r="BF5" s="326"/>
      <c r="BG5" s="326"/>
      <c r="BH5" s="326"/>
      <c r="BI5" s="326"/>
      <c r="BJ5" s="326"/>
      <c r="BK5" s="326"/>
      <c r="BL5" s="326"/>
      <c r="BM5" s="326"/>
      <c r="BN5" s="326"/>
      <c r="BO5" s="326"/>
      <c r="BP5" s="326"/>
      <c r="BQ5" s="334"/>
      <c r="BR5" s="334"/>
      <c r="BS5" s="334"/>
      <c r="BT5" s="326"/>
      <c r="BU5" s="326"/>
      <c r="BV5" s="326"/>
      <c r="BW5" s="326"/>
      <c r="BX5" s="326"/>
      <c r="BY5" s="326"/>
      <c r="BZ5" s="58"/>
      <c r="CA5" s="335"/>
      <c r="CB5" s="335"/>
      <c r="CC5" s="335"/>
      <c r="CD5" s="335"/>
      <c r="CE5" s="335"/>
      <c r="CF5" s="335"/>
      <c r="CG5" s="335"/>
      <c r="CH5" s="332"/>
      <c r="CI5" s="332"/>
      <c r="CJ5" s="336"/>
      <c r="CK5" s="336"/>
      <c r="CL5" s="336"/>
    </row>
    <row r="6" spans="2:90" ht="14.5">
      <c r="B6" s="326"/>
      <c r="C6" s="797" t="s">
        <v>3284</v>
      </c>
      <c r="E6" s="326"/>
      <c r="F6" s="326"/>
      <c r="G6" s="334"/>
      <c r="H6" s="334"/>
      <c r="I6" s="337"/>
      <c r="J6" s="337"/>
      <c r="K6" s="337"/>
      <c r="T6" s="326"/>
      <c r="U6" s="326"/>
      <c r="V6" s="326"/>
      <c r="AE6" s="326"/>
      <c r="AF6" s="326"/>
      <c r="AG6" s="331"/>
      <c r="AH6" s="326"/>
      <c r="AI6" s="326"/>
      <c r="AJ6" s="326"/>
      <c r="AK6" s="329"/>
      <c r="AL6" s="329"/>
      <c r="AM6" s="329"/>
      <c r="AN6" s="329"/>
      <c r="AO6" s="329"/>
      <c r="AP6" s="329"/>
      <c r="AQ6" s="329"/>
      <c r="AR6" s="329"/>
      <c r="AS6" s="329"/>
      <c r="AT6" s="329"/>
      <c r="AU6" s="329"/>
      <c r="AV6" s="326"/>
      <c r="AW6" s="326"/>
      <c r="AX6" s="334"/>
      <c r="AY6" s="334"/>
      <c r="AZ6" s="334"/>
      <c r="BA6" s="326"/>
      <c r="BB6" s="326"/>
      <c r="BC6" s="326"/>
      <c r="BD6" s="331"/>
      <c r="BE6" s="326"/>
      <c r="BF6" s="326"/>
      <c r="BG6" s="326"/>
      <c r="BH6" s="326"/>
      <c r="BI6" s="326"/>
      <c r="BJ6" s="326"/>
      <c r="BK6" s="326"/>
      <c r="BL6" s="326"/>
      <c r="BM6" s="326"/>
      <c r="BN6" s="326"/>
      <c r="BO6" s="326"/>
      <c r="BP6" s="326"/>
      <c r="BQ6" s="334"/>
      <c r="BR6" s="334"/>
      <c r="BS6" s="334"/>
      <c r="BT6" s="326"/>
      <c r="BU6" s="326"/>
      <c r="BV6" s="326"/>
      <c r="BW6" s="326"/>
      <c r="BX6" s="326"/>
      <c r="BY6" s="326"/>
      <c r="BZ6" s="58"/>
      <c r="CA6" s="335"/>
      <c r="CB6" s="335"/>
      <c r="CC6" s="335"/>
      <c r="CD6" s="335"/>
      <c r="CE6" s="335"/>
      <c r="CF6" s="335"/>
      <c r="CG6" s="335"/>
      <c r="CH6" s="332"/>
      <c r="CI6" s="332"/>
      <c r="CJ6" s="336"/>
      <c r="CK6" s="336"/>
      <c r="CL6" s="336"/>
    </row>
    <row r="7" spans="2:90" ht="14.5">
      <c r="B7" s="326"/>
      <c r="C7" s="797" t="s">
        <v>3301</v>
      </c>
      <c r="E7" s="326"/>
      <c r="F7" s="326"/>
      <c r="G7" s="334"/>
      <c r="H7" s="334"/>
      <c r="I7" s="337"/>
      <c r="J7" s="337"/>
      <c r="K7" s="337"/>
      <c r="T7" s="326"/>
      <c r="U7" s="326"/>
      <c r="V7" s="326"/>
      <c r="AE7" s="326"/>
      <c r="AF7" s="326"/>
      <c r="AG7" s="331"/>
      <c r="AH7" s="326"/>
      <c r="AI7" s="326"/>
      <c r="AJ7" s="326"/>
      <c r="AK7" s="329"/>
      <c r="AL7" s="329"/>
      <c r="AM7" s="329"/>
      <c r="AN7" s="329"/>
      <c r="AO7" s="329"/>
      <c r="AP7" s="329"/>
      <c r="AQ7" s="329"/>
      <c r="AR7" s="329"/>
      <c r="AS7" s="329"/>
      <c r="AT7" s="329"/>
      <c r="AU7" s="329"/>
      <c r="AV7" s="326"/>
      <c r="AW7" s="326"/>
      <c r="AX7" s="334"/>
      <c r="AY7" s="334"/>
      <c r="AZ7" s="334"/>
      <c r="BA7" s="326"/>
      <c r="BB7" s="326"/>
      <c r="BC7" s="326"/>
      <c r="BD7" s="331"/>
      <c r="BE7" s="326"/>
      <c r="BF7" s="326"/>
      <c r="BG7" s="326"/>
      <c r="BH7" s="326"/>
      <c r="BI7" s="326"/>
      <c r="BJ7" s="326"/>
      <c r="BK7" s="326"/>
      <c r="BL7" s="326"/>
      <c r="BM7" s="326"/>
      <c r="BN7" s="326"/>
      <c r="BO7" s="326"/>
      <c r="BP7" s="326"/>
      <c r="BQ7" s="334"/>
      <c r="BR7" s="334"/>
      <c r="BS7" s="334"/>
      <c r="BT7" s="326"/>
      <c r="BU7" s="326"/>
      <c r="BV7" s="326"/>
      <c r="BW7" s="326"/>
      <c r="BX7" s="326"/>
      <c r="BY7" s="326"/>
      <c r="BZ7" s="58"/>
      <c r="CA7" s="335"/>
      <c r="CB7" s="335"/>
      <c r="CC7" s="335"/>
      <c r="CD7" s="335"/>
      <c r="CE7" s="335"/>
      <c r="CF7" s="335"/>
      <c r="CG7" s="335"/>
      <c r="CH7" s="332"/>
      <c r="CI7" s="332"/>
      <c r="CJ7" s="336"/>
      <c r="CK7" s="336"/>
      <c r="CL7" s="336"/>
    </row>
    <row r="8" spans="2:90" ht="14.5">
      <c r="C8" s="798" t="s">
        <v>3302</v>
      </c>
      <c r="E8" s="326"/>
      <c r="F8" s="326"/>
      <c r="G8" s="334"/>
      <c r="H8" s="334"/>
      <c r="I8" s="337"/>
      <c r="J8" s="337"/>
      <c r="K8" s="337"/>
      <c r="N8" s="338"/>
      <c r="Q8" s="339"/>
      <c r="T8" s="326"/>
      <c r="U8" s="326"/>
      <c r="V8" s="326"/>
      <c r="AE8" s="326"/>
      <c r="AF8" s="326"/>
      <c r="AG8" s="331"/>
      <c r="AH8" s="326"/>
      <c r="AI8" s="326"/>
      <c r="AJ8" s="326"/>
      <c r="AK8" s="329"/>
      <c r="AL8" s="329"/>
      <c r="AM8" s="329"/>
      <c r="AN8" s="329"/>
      <c r="AO8" s="329"/>
      <c r="AP8" s="329"/>
      <c r="AQ8" s="329"/>
      <c r="AR8" s="329"/>
      <c r="AS8" s="329"/>
      <c r="AT8" s="329"/>
      <c r="AU8" s="329"/>
      <c r="AV8" s="326"/>
      <c r="AW8" s="326"/>
      <c r="AX8" s="334"/>
      <c r="AY8" s="334"/>
      <c r="AZ8" s="334"/>
      <c r="BA8" s="326"/>
      <c r="BB8" s="326"/>
      <c r="BC8" s="326"/>
      <c r="BD8" s="331"/>
      <c r="BE8" s="326"/>
      <c r="BF8" s="326"/>
      <c r="BG8" s="326"/>
      <c r="BH8" s="326"/>
      <c r="BI8" s="326"/>
      <c r="BJ8" s="326"/>
      <c r="BK8" s="326"/>
      <c r="BL8" s="326"/>
      <c r="BM8" s="326"/>
      <c r="BN8" s="326"/>
      <c r="BO8" s="326"/>
      <c r="BP8" s="326"/>
      <c r="BQ8" s="334"/>
      <c r="BR8" s="334"/>
      <c r="BS8" s="334"/>
      <c r="BT8" s="326"/>
      <c r="BU8" s="326"/>
      <c r="BV8" s="326"/>
      <c r="BW8" s="326"/>
      <c r="BX8" s="326"/>
      <c r="BY8" s="326"/>
      <c r="BZ8" s="58"/>
      <c r="CA8" s="335"/>
      <c r="CB8" s="335"/>
      <c r="CC8" s="335"/>
      <c r="CD8" s="335"/>
      <c r="CE8" s="335"/>
      <c r="CF8" s="335"/>
      <c r="CG8" s="335"/>
      <c r="CH8" s="332"/>
      <c r="CI8" s="332"/>
      <c r="CJ8" s="336"/>
      <c r="CK8" s="336"/>
      <c r="CL8" s="336"/>
    </row>
    <row r="9" spans="2:90" ht="15" thickBot="1">
      <c r="C9" s="797" t="s">
        <v>3303</v>
      </c>
      <c r="E9" s="326"/>
      <c r="F9" s="326"/>
      <c r="G9" s="334"/>
      <c r="H9" s="334"/>
      <c r="I9" s="337"/>
      <c r="J9" s="337"/>
      <c r="K9" s="337"/>
      <c r="T9" s="326"/>
      <c r="U9" s="326"/>
      <c r="V9" s="326"/>
      <c r="AE9" s="326"/>
      <c r="AF9" s="326"/>
      <c r="AG9" s="331"/>
      <c r="AH9" s="326"/>
      <c r="AI9" s="326"/>
      <c r="AJ9" s="326"/>
      <c r="AK9" s="329"/>
      <c r="AL9" s="329"/>
      <c r="AM9" s="329"/>
      <c r="AN9" s="329"/>
      <c r="AO9" s="329"/>
      <c r="AP9" s="329"/>
      <c r="AQ9" s="329"/>
      <c r="AR9" s="329"/>
      <c r="AS9" s="329"/>
      <c r="AT9" s="329"/>
      <c r="AU9" s="329"/>
      <c r="AV9" s="326"/>
      <c r="AW9" s="326"/>
      <c r="AX9" s="334"/>
      <c r="AY9" s="334"/>
      <c r="AZ9" s="334"/>
      <c r="BA9" s="326"/>
      <c r="BB9" s="326"/>
      <c r="BC9" s="326"/>
      <c r="BD9" s="331"/>
      <c r="BE9" s="326"/>
      <c r="BF9" s="326"/>
      <c r="BG9" s="326"/>
      <c r="BH9" s="326"/>
      <c r="BI9" s="326"/>
      <c r="BJ9" s="326"/>
      <c r="BK9" s="326"/>
      <c r="BL9" s="326"/>
      <c r="BM9" s="326"/>
      <c r="BN9" s="326"/>
      <c r="BO9" s="326"/>
      <c r="BP9" s="326"/>
      <c r="BQ9" s="334"/>
      <c r="BR9" s="334"/>
      <c r="BS9" s="334"/>
      <c r="BT9" s="326"/>
      <c r="BU9" s="326"/>
      <c r="BV9" s="326"/>
      <c r="BW9" s="326"/>
      <c r="BX9" s="326"/>
      <c r="BY9" s="326"/>
      <c r="BZ9" s="58"/>
      <c r="CA9" s="335"/>
      <c r="CB9" s="335"/>
      <c r="CC9" s="335"/>
      <c r="CD9" s="335"/>
      <c r="CE9" s="335"/>
      <c r="CF9" s="335"/>
      <c r="CG9" s="335"/>
      <c r="CH9" s="332"/>
      <c r="CI9" s="332"/>
      <c r="CJ9" s="336"/>
      <c r="CK9" s="336"/>
      <c r="CL9" s="336"/>
    </row>
    <row r="10" spans="2:90" ht="15" thickBot="1">
      <c r="C10" s="799"/>
      <c r="D10" s="800" t="s">
        <v>3304</v>
      </c>
      <c r="E10" s="326"/>
      <c r="F10" s="326"/>
      <c r="G10" s="334"/>
      <c r="H10" s="334"/>
      <c r="I10" s="337"/>
      <c r="J10" s="337"/>
      <c r="K10" s="337"/>
      <c r="T10" s="326"/>
      <c r="U10" s="326"/>
      <c r="V10" s="326"/>
      <c r="W10" s="855" t="s">
        <v>2901</v>
      </c>
      <c r="X10" s="856"/>
      <c r="Y10" s="856"/>
      <c r="Z10" s="856"/>
      <c r="AA10" s="856"/>
      <c r="AB10" s="857"/>
      <c r="AE10" s="326"/>
      <c r="AF10" s="326"/>
      <c r="AG10" s="331"/>
      <c r="AH10" s="326"/>
      <c r="AI10" s="326"/>
      <c r="AJ10" s="326"/>
      <c r="AK10" s="329"/>
      <c r="AL10" s="329"/>
      <c r="AM10" s="329"/>
      <c r="AN10" s="329"/>
      <c r="AO10" s="329"/>
      <c r="AP10" s="329"/>
      <c r="AQ10" s="329"/>
      <c r="AR10" s="329"/>
      <c r="AS10" s="329"/>
      <c r="AT10" s="329"/>
      <c r="AU10" s="329"/>
      <c r="AV10" s="326"/>
      <c r="AW10" s="326"/>
      <c r="AX10" s="334"/>
      <c r="AY10" s="334"/>
      <c r="AZ10" s="334"/>
      <c r="BA10" s="326"/>
      <c r="BB10" s="326"/>
      <c r="BC10" s="326"/>
      <c r="BD10" s="331"/>
      <c r="BE10" s="326"/>
      <c r="BF10" s="326"/>
      <c r="BG10" s="326"/>
      <c r="BH10" s="326"/>
      <c r="BI10" s="326"/>
      <c r="BJ10" s="326"/>
      <c r="BK10" s="326"/>
      <c r="BL10" s="326"/>
      <c r="BM10" s="326"/>
      <c r="BN10" s="326"/>
      <c r="BO10" s="326"/>
      <c r="BP10" s="326"/>
      <c r="BQ10" s="334"/>
      <c r="BR10" s="334"/>
      <c r="BS10" s="334"/>
      <c r="BT10" s="326"/>
      <c r="BU10" s="326"/>
      <c r="BV10" s="326"/>
      <c r="BW10" s="326"/>
      <c r="BX10" s="326"/>
      <c r="BY10" s="326"/>
      <c r="BZ10" s="58"/>
      <c r="CA10" s="335"/>
      <c r="CB10" s="335"/>
      <c r="CC10" s="335"/>
      <c r="CD10" s="335"/>
      <c r="CE10" s="335"/>
      <c r="CF10" s="335"/>
      <c r="CG10" s="335"/>
      <c r="CH10" s="332"/>
      <c r="CI10" s="332"/>
      <c r="CJ10" s="336"/>
      <c r="CK10" s="336"/>
      <c r="CL10" s="336"/>
    </row>
    <row r="11" spans="2:90" ht="15" thickBot="1">
      <c r="C11" s="380"/>
      <c r="D11" s="800" t="s">
        <v>2935</v>
      </c>
      <c r="E11" s="326"/>
      <c r="F11" s="326"/>
      <c r="G11" s="334"/>
      <c r="H11" s="334"/>
      <c r="I11" s="337"/>
      <c r="J11" s="337"/>
      <c r="K11" s="337"/>
      <c r="T11" s="326"/>
      <c r="U11" s="326"/>
      <c r="V11" s="326"/>
      <c r="W11" s="794"/>
      <c r="X11" s="795"/>
      <c r="Y11" s="795"/>
      <c r="Z11" s="795"/>
      <c r="AA11" s="795"/>
      <c r="AB11" s="796"/>
      <c r="AE11" s="326"/>
      <c r="AF11" s="326"/>
      <c r="AG11" s="331"/>
      <c r="AH11" s="326"/>
      <c r="AI11" s="326"/>
      <c r="AJ11" s="326"/>
      <c r="AK11" s="329"/>
      <c r="AL11" s="329"/>
      <c r="AM11" s="329"/>
      <c r="AN11" s="329"/>
      <c r="AO11" s="329"/>
      <c r="AP11" s="329"/>
      <c r="AQ11" s="329"/>
      <c r="AR11" s="329"/>
      <c r="AS11" s="329"/>
      <c r="AT11" s="329"/>
      <c r="AU11" s="329"/>
      <c r="AV11" s="326"/>
      <c r="AW11" s="326"/>
      <c r="AX11" s="334"/>
      <c r="AY11" s="334"/>
      <c r="AZ11" s="334"/>
      <c r="BA11" s="326"/>
      <c r="BB11" s="326"/>
      <c r="BC11" s="326"/>
      <c r="BD11" s="331"/>
      <c r="BE11" s="326"/>
      <c r="BF11" s="326"/>
      <c r="BG11" s="326"/>
      <c r="BH11" s="326"/>
      <c r="BI11" s="326"/>
      <c r="BJ11" s="326"/>
      <c r="BK11" s="326"/>
      <c r="BL11" s="326"/>
      <c r="BM11" s="326"/>
      <c r="BN11" s="326"/>
      <c r="BO11" s="326"/>
      <c r="BP11" s="326"/>
      <c r="BQ11" s="334"/>
      <c r="BR11" s="334"/>
      <c r="BS11" s="334"/>
      <c r="BT11" s="326"/>
      <c r="BU11" s="326"/>
      <c r="BV11" s="326"/>
      <c r="BW11" s="326"/>
      <c r="BX11" s="326"/>
      <c r="BY11" s="326"/>
      <c r="BZ11" s="58"/>
      <c r="CA11" s="335"/>
      <c r="CB11" s="335"/>
      <c r="CC11" s="335"/>
      <c r="CD11" s="335"/>
      <c r="CE11" s="335"/>
      <c r="CF11" s="335"/>
      <c r="CG11" s="335"/>
      <c r="CH11" s="332"/>
      <c r="CI11" s="332"/>
      <c r="CJ11" s="336"/>
      <c r="CK11" s="336"/>
      <c r="CL11" s="336"/>
    </row>
    <row r="12" spans="2:90" ht="15" thickBot="1">
      <c r="C12" s="340"/>
      <c r="D12" s="800" t="s">
        <v>3285</v>
      </c>
      <c r="E12" s="326"/>
      <c r="F12" s="326"/>
      <c r="G12" s="334"/>
      <c r="H12" s="334"/>
      <c r="I12" s="337"/>
      <c r="J12" s="337"/>
      <c r="K12" s="337"/>
      <c r="T12" s="326"/>
      <c r="U12" s="326"/>
      <c r="V12" s="326"/>
      <c r="W12" s="794"/>
      <c r="X12" s="795"/>
      <c r="Y12" s="795"/>
      <c r="Z12" s="795"/>
      <c r="AA12" s="795"/>
      <c r="AB12" s="796"/>
      <c r="AE12" s="326"/>
      <c r="AF12" s="326"/>
      <c r="AG12" s="331"/>
      <c r="AH12" s="326"/>
      <c r="AI12" s="326"/>
      <c r="AJ12" s="326"/>
      <c r="AK12" s="329"/>
      <c r="AL12" s="329"/>
      <c r="AM12" s="329"/>
      <c r="AN12" s="329"/>
      <c r="AO12" s="329"/>
      <c r="AP12" s="329"/>
      <c r="AQ12" s="329"/>
      <c r="AR12" s="329"/>
      <c r="AS12" s="329"/>
      <c r="AT12" s="329"/>
      <c r="AU12" s="329"/>
      <c r="AV12" s="326"/>
      <c r="AW12" s="326"/>
      <c r="AX12" s="334"/>
      <c r="AY12" s="334"/>
      <c r="AZ12" s="334"/>
      <c r="BA12" s="326"/>
      <c r="BB12" s="326"/>
      <c r="BC12" s="326"/>
      <c r="BD12" s="331"/>
      <c r="BE12" s="326"/>
      <c r="BF12" s="326"/>
      <c r="BG12" s="326"/>
      <c r="BH12" s="326"/>
      <c r="BI12" s="326"/>
      <c r="BJ12" s="326"/>
      <c r="BK12" s="326"/>
      <c r="BL12" s="326"/>
      <c r="BM12" s="326"/>
      <c r="BN12" s="326"/>
      <c r="BO12" s="326"/>
      <c r="BP12" s="326"/>
      <c r="BQ12" s="334"/>
      <c r="BR12" s="334"/>
      <c r="BS12" s="334"/>
      <c r="BT12" s="326"/>
      <c r="BU12" s="326"/>
      <c r="BV12" s="326"/>
      <c r="BW12" s="326"/>
      <c r="BX12" s="326"/>
      <c r="BY12" s="326"/>
      <c r="BZ12" s="58"/>
      <c r="CA12" s="335"/>
      <c r="CB12" s="335"/>
      <c r="CC12" s="335"/>
      <c r="CD12" s="335"/>
      <c r="CE12" s="335"/>
      <c r="CF12" s="335"/>
      <c r="CG12" s="335"/>
      <c r="CH12" s="332"/>
      <c r="CI12" s="332"/>
      <c r="CJ12" s="336"/>
      <c r="CK12" s="336"/>
      <c r="CL12" s="336"/>
    </row>
    <row r="13" spans="2:90" s="329" customFormat="1" ht="15" thickBot="1">
      <c r="C13" s="341"/>
      <c r="J13" s="342"/>
      <c r="K13" s="342"/>
      <c r="L13" s="342"/>
      <c r="N13" s="343"/>
      <c r="O13" s="344"/>
      <c r="P13" s="345"/>
      <c r="R13" s="345"/>
      <c r="S13" s="346"/>
      <c r="T13" s="347"/>
      <c r="U13" s="348"/>
      <c r="V13" s="347"/>
      <c r="W13" s="858" t="s">
        <v>455</v>
      </c>
      <c r="X13" s="859"/>
      <c r="Y13" s="859"/>
      <c r="Z13" s="859"/>
      <c r="AA13" s="859"/>
      <c r="AB13" s="860"/>
      <c r="BR13" s="326"/>
    </row>
    <row r="14" spans="2:90" s="329" customFormat="1" ht="44.25" customHeight="1" thickBot="1">
      <c r="C14" s="349">
        <v>2019</v>
      </c>
      <c r="D14" s="843" t="s">
        <v>3297</v>
      </c>
      <c r="E14" s="844"/>
      <c r="F14" s="841" t="s">
        <v>3298</v>
      </c>
      <c r="G14" s="842"/>
      <c r="H14" s="350"/>
      <c r="I14" s="805" t="s">
        <v>3286</v>
      </c>
      <c r="J14" s="806" t="s">
        <v>196</v>
      </c>
      <c r="K14" s="807" t="s">
        <v>3287</v>
      </c>
      <c r="L14" s="808" t="s">
        <v>3288</v>
      </c>
      <c r="M14" s="339"/>
      <c r="N14" s="843" t="s">
        <v>3289</v>
      </c>
      <c r="O14" s="844"/>
      <c r="P14" s="841" t="s">
        <v>3290</v>
      </c>
      <c r="Q14" s="842"/>
      <c r="R14" s="352"/>
      <c r="S14" s="353"/>
      <c r="T14" s="354"/>
      <c r="U14" s="353"/>
      <c r="V14" s="352"/>
      <c r="W14" s="355"/>
      <c r="X14" s="356" t="s">
        <v>2898</v>
      </c>
      <c r="Y14" s="356" t="s">
        <v>2899</v>
      </c>
      <c r="Z14" s="356" t="s">
        <v>2900</v>
      </c>
      <c r="AA14" s="475" t="s">
        <v>351</v>
      </c>
      <c r="AB14" s="357"/>
      <c r="AE14" s="353"/>
      <c r="AF14" s="354"/>
      <c r="AG14" s="353"/>
      <c r="AH14" s="352"/>
      <c r="AI14" s="353"/>
      <c r="AL14" s="358"/>
      <c r="AM14" s="354"/>
      <c r="AN14" s="358"/>
      <c r="AS14" s="358"/>
      <c r="AT14" s="354"/>
      <c r="AU14" s="358"/>
      <c r="AZ14" s="358"/>
      <c r="BA14" s="354"/>
      <c r="BB14" s="358"/>
    </row>
    <row r="15" spans="2:90" s="329" customFormat="1" ht="42" customHeight="1">
      <c r="D15" s="833" t="s">
        <v>3299</v>
      </c>
      <c r="E15" s="834"/>
      <c r="F15" s="812" t="s">
        <v>3300</v>
      </c>
      <c r="G15" s="813" t="s">
        <v>3294</v>
      </c>
      <c r="I15" s="809" t="s">
        <v>3291</v>
      </c>
      <c r="J15" s="821">
        <f>K15+L15</f>
        <v>12718002</v>
      </c>
      <c r="K15" s="821">
        <v>2674459</v>
      </c>
      <c r="L15" s="821">
        <v>10043543</v>
      </c>
      <c r="M15" s="132"/>
      <c r="N15" s="853" t="s">
        <v>3292</v>
      </c>
      <c r="O15" s="854"/>
      <c r="P15" s="812" t="s">
        <v>3293</v>
      </c>
      <c r="Q15" s="813" t="s">
        <v>3294</v>
      </c>
      <c r="R15" s="359"/>
      <c r="S15" s="359"/>
      <c r="T15" s="359"/>
      <c r="U15" s="353"/>
      <c r="V15" s="360"/>
      <c r="W15" s="355">
        <f>C14</f>
        <v>2019</v>
      </c>
      <c r="X15" s="411">
        <f>'Generation Load Imports'!B27</f>
        <v>339683</v>
      </c>
      <c r="Y15" s="411">
        <f>'Generation Load Imports'!C7*1000</f>
        <v>8180800.8010001183</v>
      </c>
      <c r="Z15" s="411">
        <f>X15+Y15</f>
        <v>8520483.8010001183</v>
      </c>
      <c r="AA15" s="740">
        <f>(Y15/Z15)</f>
        <v>0.96013336707944585</v>
      </c>
      <c r="AB15" s="357"/>
      <c r="AE15" s="360"/>
      <c r="AG15" s="353"/>
      <c r="AH15" s="360"/>
      <c r="AI15" s="360"/>
      <c r="AZ15" s="354"/>
      <c r="BA15" s="60"/>
      <c r="BB15" s="60"/>
      <c r="BE15" s="337"/>
    </row>
    <row r="16" spans="2:90" s="329" customFormat="1" ht="15" thickBot="1">
      <c r="D16" s="839" t="s">
        <v>1621</v>
      </c>
      <c r="E16" s="840"/>
      <c r="F16" s="814">
        <f>T24</f>
        <v>415.75229041444379</v>
      </c>
      <c r="G16" s="815">
        <f>CT24</f>
        <v>401.97340554400364</v>
      </c>
      <c r="I16" s="810" t="s">
        <v>3295</v>
      </c>
      <c r="J16" s="801">
        <f>K16+L16</f>
        <v>2954820612.9469171</v>
      </c>
      <c r="K16" s="818">
        <v>0</v>
      </c>
      <c r="L16" s="802">
        <v>2954820612.9469171</v>
      </c>
      <c r="M16" s="132"/>
      <c r="N16" s="839" t="s">
        <v>1621</v>
      </c>
      <c r="O16" s="840"/>
      <c r="P16" s="814">
        <f>(S24-J16)/(F24-J15)</f>
        <v>467.65435259758465</v>
      </c>
      <c r="Q16" s="815">
        <f>(CS24-J16)/(CQ24-J15)</f>
        <v>420.9858342371428</v>
      </c>
      <c r="R16" s="360"/>
      <c r="S16" s="360"/>
      <c r="T16" s="362"/>
      <c r="U16" s="353"/>
      <c r="V16" s="360"/>
      <c r="W16" s="363"/>
      <c r="X16" s="437"/>
      <c r="Y16" s="437"/>
      <c r="Z16" s="437"/>
      <c r="AA16" s="437"/>
      <c r="AB16" s="364"/>
      <c r="AC16" s="132"/>
      <c r="AD16" s="132"/>
      <c r="AE16" s="360"/>
      <c r="AG16" s="353"/>
      <c r="AH16" s="360"/>
      <c r="AI16" s="360"/>
      <c r="AS16" s="354"/>
      <c r="AT16" s="60"/>
      <c r="AU16" s="60"/>
      <c r="AZ16" s="354"/>
      <c r="BA16" s="60"/>
      <c r="BB16" s="60"/>
    </row>
    <row r="17" spans="1:123" s="329" customFormat="1" ht="15" thickBot="1">
      <c r="A17" s="365"/>
      <c r="D17" s="849" t="s">
        <v>226</v>
      </c>
      <c r="E17" s="850"/>
      <c r="F17" s="816">
        <f>T33</f>
        <v>62.094659224110742</v>
      </c>
      <c r="G17" s="817">
        <f>CT33</f>
        <v>119.30980158366775</v>
      </c>
      <c r="I17" s="811" t="s">
        <v>3296</v>
      </c>
      <c r="J17" s="803">
        <f>K17+L17</f>
        <v>3209361610.3593545</v>
      </c>
      <c r="K17" s="819">
        <v>0</v>
      </c>
      <c r="L17" s="804">
        <v>3209361610.3593545</v>
      </c>
      <c r="M17" s="132"/>
      <c r="N17" s="849" t="s">
        <v>226</v>
      </c>
      <c r="O17" s="850"/>
      <c r="P17" s="816">
        <f>(S33-J17)/(F33-J15)</f>
        <v>8.2585772408640601</v>
      </c>
      <c r="Q17" s="817">
        <f>(CS33-J17)/(CQ33-J15)</f>
        <v>104.39950510022375</v>
      </c>
      <c r="R17" s="360"/>
      <c r="S17" s="360"/>
      <c r="T17" s="362"/>
      <c r="U17" s="353"/>
      <c r="V17" s="360"/>
      <c r="W17" s="132" t="s">
        <v>201</v>
      </c>
      <c r="X17" s="132"/>
      <c r="Y17" s="132"/>
      <c r="Z17" s="132"/>
      <c r="AA17" s="132"/>
      <c r="AB17" s="132"/>
      <c r="AC17" s="353"/>
      <c r="AD17" s="360"/>
      <c r="AE17" s="360"/>
      <c r="AG17" s="353"/>
      <c r="AH17" s="360"/>
      <c r="AI17" s="360"/>
      <c r="AL17" s="354"/>
      <c r="AM17" s="60"/>
      <c r="AN17" s="60"/>
      <c r="AS17" s="354"/>
      <c r="AT17" s="60"/>
      <c r="AU17" s="60"/>
      <c r="AZ17" s="354"/>
      <c r="BA17" s="60"/>
      <c r="BB17" s="60"/>
    </row>
    <row r="18" spans="1:123" ht="17.25" customHeight="1" thickBot="1">
      <c r="CR18" s="366"/>
      <c r="CS18" s="366"/>
      <c r="CT18" s="366"/>
      <c r="CU18" s="366"/>
      <c r="CV18" s="366"/>
      <c r="CW18" s="366"/>
    </row>
    <row r="19" spans="1:123" ht="13.5" customHeight="1">
      <c r="B19" s="367" t="s">
        <v>1619</v>
      </c>
      <c r="C19" s="368"/>
      <c r="D19" s="368"/>
      <c r="E19" s="368"/>
      <c r="F19" s="368"/>
      <c r="G19" s="369"/>
      <c r="H19" s="370"/>
      <c r="I19" s="370"/>
      <c r="J19" s="370"/>
      <c r="K19" s="370"/>
      <c r="L19" s="370"/>
      <c r="M19" s="370"/>
      <c r="N19" s="370"/>
      <c r="O19" s="370"/>
      <c r="P19" s="370"/>
      <c r="Q19" s="370"/>
      <c r="R19" s="370"/>
      <c r="S19" s="371"/>
      <c r="T19" s="372"/>
      <c r="V19" s="373" t="s">
        <v>352</v>
      </c>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2"/>
      <c r="BQ19" s="373" t="s">
        <v>353</v>
      </c>
      <c r="BR19" s="370"/>
      <c r="BS19" s="370"/>
      <c r="BT19" s="370"/>
      <c r="BU19" s="370"/>
      <c r="BV19" s="370"/>
      <c r="BW19" s="370"/>
      <c r="BX19" s="370"/>
      <c r="BY19" s="370"/>
      <c r="BZ19" s="370"/>
      <c r="CA19" s="370"/>
      <c r="CB19" s="370"/>
      <c r="CC19" s="370"/>
      <c r="CD19" s="370"/>
      <c r="CE19" s="370"/>
      <c r="CF19" s="370"/>
      <c r="CG19" s="370"/>
      <c r="CH19" s="370"/>
      <c r="CI19" s="370"/>
      <c r="CJ19" s="370"/>
      <c r="CK19" s="372"/>
      <c r="CM19" s="373" t="s">
        <v>354</v>
      </c>
      <c r="CN19" s="370"/>
      <c r="CO19" s="370"/>
      <c r="CP19" s="370"/>
      <c r="CQ19" s="370"/>
      <c r="CR19" s="370"/>
      <c r="CS19" s="370"/>
      <c r="CT19" s="370"/>
      <c r="CU19" s="370"/>
      <c r="CV19" s="372"/>
    </row>
    <row r="20" spans="1:123" ht="13.5" customHeight="1" thickBot="1">
      <c r="B20" s="355"/>
      <c r="C20" s="329"/>
      <c r="D20" s="329"/>
      <c r="E20" s="329"/>
      <c r="F20" s="329"/>
      <c r="G20" s="329"/>
      <c r="H20" s="329"/>
      <c r="I20" s="366"/>
      <c r="J20" s="366"/>
      <c r="K20" s="366"/>
      <c r="L20" s="366"/>
      <c r="M20" s="366"/>
      <c r="N20" s="366"/>
      <c r="O20" s="366"/>
      <c r="P20" s="366"/>
      <c r="Q20" s="366"/>
      <c r="R20" s="366"/>
      <c r="S20" s="374"/>
      <c r="T20" s="375"/>
      <c r="V20" s="376" t="s">
        <v>355</v>
      </c>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75"/>
      <c r="BQ20" s="376" t="s">
        <v>355</v>
      </c>
      <c r="BR20" s="366"/>
      <c r="BS20" s="366"/>
      <c r="BT20" s="366"/>
      <c r="BU20" s="366"/>
      <c r="BV20" s="377"/>
      <c r="BW20" s="339"/>
      <c r="BX20" s="366"/>
      <c r="BY20" s="366"/>
      <c r="BZ20" s="366"/>
      <c r="CA20" s="366"/>
      <c r="CB20" s="366"/>
      <c r="CC20" s="366"/>
      <c r="CD20" s="366"/>
      <c r="CE20" s="366"/>
      <c r="CF20" s="366"/>
      <c r="CG20" s="366"/>
      <c r="CH20" s="366"/>
      <c r="CI20" s="366"/>
      <c r="CJ20" s="366"/>
      <c r="CK20" s="375"/>
      <c r="CM20" s="378"/>
      <c r="CN20" s="366"/>
      <c r="CO20" s="366"/>
      <c r="CP20" s="366"/>
      <c r="CQ20" s="366"/>
      <c r="CR20" s="366"/>
      <c r="CS20" s="366"/>
      <c r="CT20" s="366"/>
      <c r="CU20" s="366"/>
      <c r="CV20" s="375"/>
    </row>
    <row r="21" spans="1:123" ht="15" customHeight="1">
      <c r="B21" s="378"/>
      <c r="C21" s="366"/>
      <c r="D21" s="835" t="s">
        <v>356</v>
      </c>
      <c r="E21" s="845"/>
      <c r="F21" s="845"/>
      <c r="G21" s="836"/>
      <c r="H21" s="831" t="s">
        <v>357</v>
      </c>
      <c r="I21" s="835" t="s">
        <v>358</v>
      </c>
      <c r="J21" s="836"/>
      <c r="K21" s="835" t="s">
        <v>359</v>
      </c>
      <c r="L21" s="845"/>
      <c r="M21" s="836"/>
      <c r="N21" s="831" t="s">
        <v>360</v>
      </c>
      <c r="O21" s="835" t="s">
        <v>361</v>
      </c>
      <c r="P21" s="845"/>
      <c r="Q21" s="836"/>
      <c r="R21" s="851" t="s">
        <v>350</v>
      </c>
      <c r="S21" s="831" t="s">
        <v>362</v>
      </c>
      <c r="T21" s="831" t="s">
        <v>202</v>
      </c>
      <c r="V21" s="378"/>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75"/>
      <c r="BQ21" s="378"/>
      <c r="BR21" s="366"/>
      <c r="BS21" s="366"/>
      <c r="BT21" s="366"/>
      <c r="BU21" s="366"/>
      <c r="BV21" s="339"/>
      <c r="BW21" s="339"/>
      <c r="BX21" s="366"/>
      <c r="BY21" s="366"/>
      <c r="BZ21" s="366"/>
      <c r="CA21" s="366"/>
      <c r="CB21" s="366"/>
      <c r="CC21" s="366"/>
      <c r="CD21" s="366"/>
      <c r="CE21" s="366"/>
      <c r="CF21" s="366"/>
      <c r="CG21" s="366"/>
      <c r="CH21" s="366"/>
      <c r="CI21" s="366"/>
      <c r="CJ21" s="366"/>
      <c r="CK21" s="375"/>
      <c r="CM21" s="378"/>
      <c r="CN21" s="366"/>
      <c r="CO21" s="366"/>
      <c r="CP21" s="366"/>
      <c r="CQ21" s="366"/>
      <c r="CR21" s="366"/>
      <c r="CS21" s="366"/>
      <c r="CT21" s="366"/>
      <c r="CU21" s="366"/>
      <c r="CV21" s="375"/>
    </row>
    <row r="22" spans="1:123" ht="31.5" customHeight="1" thickBot="1">
      <c r="B22" s="378"/>
      <c r="C22" s="366"/>
      <c r="D22" s="846"/>
      <c r="E22" s="847"/>
      <c r="F22" s="847"/>
      <c r="G22" s="848"/>
      <c r="H22" s="832"/>
      <c r="I22" s="837"/>
      <c r="J22" s="838"/>
      <c r="K22" s="846"/>
      <c r="L22" s="847"/>
      <c r="M22" s="848"/>
      <c r="N22" s="832"/>
      <c r="O22" s="846"/>
      <c r="P22" s="847"/>
      <c r="Q22" s="848"/>
      <c r="R22" s="852"/>
      <c r="S22" s="832"/>
      <c r="T22" s="832"/>
      <c r="V22" s="378"/>
      <c r="W22" s="379" t="s">
        <v>92</v>
      </c>
      <c r="X22" s="380"/>
      <c r="Y22" s="380"/>
      <c r="Z22" s="380"/>
      <c r="AA22" s="380"/>
      <c r="AB22" s="380"/>
      <c r="AC22" s="380"/>
      <c r="AD22" s="380"/>
      <c r="AE22" s="366"/>
      <c r="AF22" s="379" t="s">
        <v>98</v>
      </c>
      <c r="AG22" s="380"/>
      <c r="AH22" s="380"/>
      <c r="AI22" s="380"/>
      <c r="AJ22" s="380"/>
      <c r="AK22" s="380"/>
      <c r="AL22" s="380"/>
      <c r="AM22" s="380"/>
      <c r="AN22" s="366"/>
      <c r="AO22" s="379" t="s">
        <v>363</v>
      </c>
      <c r="AP22" s="380"/>
      <c r="AQ22" s="380"/>
      <c r="AR22" s="380"/>
      <c r="AS22" s="380"/>
      <c r="AT22" s="380"/>
      <c r="AU22" s="380"/>
      <c r="AV22" s="380"/>
      <c r="AW22" s="366"/>
      <c r="AX22" s="379" t="s">
        <v>43</v>
      </c>
      <c r="AY22" s="380"/>
      <c r="AZ22" s="380"/>
      <c r="BA22" s="380"/>
      <c r="BB22" s="380"/>
      <c r="BC22" s="380"/>
      <c r="BD22" s="380"/>
      <c r="BE22" s="380"/>
      <c r="BF22" s="366"/>
      <c r="BG22" s="379" t="s">
        <v>136</v>
      </c>
      <c r="BH22" s="380"/>
      <c r="BI22" s="380"/>
      <c r="BJ22" s="380"/>
      <c r="BK22" s="380"/>
      <c r="BL22" s="380"/>
      <c r="BM22" s="380"/>
      <c r="BN22" s="380"/>
      <c r="BO22" s="375"/>
      <c r="BQ22" s="378"/>
      <c r="BR22" s="379" t="s">
        <v>59</v>
      </c>
      <c r="BS22" s="380"/>
      <c r="BT22" s="380"/>
      <c r="BU22" s="380"/>
      <c r="BV22" s="379"/>
      <c r="BW22" s="379"/>
      <c r="BX22" s="380"/>
      <c r="BY22" s="366"/>
      <c r="BZ22" s="379" t="s">
        <v>235</v>
      </c>
      <c r="CA22" s="379"/>
      <c r="CB22" s="380"/>
      <c r="CC22" s="380"/>
      <c r="CD22" s="380"/>
      <c r="CE22" s="366"/>
      <c r="CF22" s="379" t="s">
        <v>234</v>
      </c>
      <c r="CG22" s="379"/>
      <c r="CH22" s="380"/>
      <c r="CI22" s="380"/>
      <c r="CJ22" s="380"/>
      <c r="CK22" s="375"/>
      <c r="CM22" s="378"/>
      <c r="CN22" s="381" t="s">
        <v>365</v>
      </c>
      <c r="CO22" s="382"/>
      <c r="CP22" s="383"/>
      <c r="CQ22" s="383"/>
      <c r="CR22" s="383"/>
      <c r="CS22" s="383"/>
      <c r="CT22" s="383"/>
      <c r="CU22" s="384"/>
      <c r="CV22" s="385"/>
      <c r="DO22" s="366"/>
      <c r="DP22" s="386"/>
      <c r="DQ22" s="366"/>
      <c r="DR22" s="366"/>
      <c r="DS22" s="366"/>
    </row>
    <row r="23" spans="1:123" s="337" customFormat="1" ht="66" customHeight="1">
      <c r="B23" s="355"/>
      <c r="C23" s="387" t="s">
        <v>378</v>
      </c>
      <c r="D23" s="388" t="s">
        <v>2828</v>
      </c>
      <c r="E23" s="389" t="s">
        <v>2829</v>
      </c>
      <c r="F23" s="390" t="s">
        <v>2845</v>
      </c>
      <c r="G23" s="391" t="s">
        <v>2830</v>
      </c>
      <c r="H23" s="392" t="s">
        <v>2831</v>
      </c>
      <c r="I23" s="388" t="s">
        <v>2832</v>
      </c>
      <c r="J23" s="391" t="s">
        <v>366</v>
      </c>
      <c r="K23" s="393" t="s">
        <v>367</v>
      </c>
      <c r="L23" s="394" t="s">
        <v>368</v>
      </c>
      <c r="M23" s="395" t="s">
        <v>369</v>
      </c>
      <c r="N23" s="388" t="s">
        <v>2833</v>
      </c>
      <c r="O23" s="388" t="s">
        <v>2834</v>
      </c>
      <c r="P23" s="389" t="s">
        <v>2835</v>
      </c>
      <c r="Q23" s="391" t="s">
        <v>2836</v>
      </c>
      <c r="R23" s="396" t="s">
        <v>2837</v>
      </c>
      <c r="S23" s="387" t="s">
        <v>2838</v>
      </c>
      <c r="T23" s="397" t="s">
        <v>2839</v>
      </c>
      <c r="V23" s="398"/>
      <c r="W23" s="399" t="s">
        <v>2857</v>
      </c>
      <c r="X23" s="399" t="s">
        <v>2858</v>
      </c>
      <c r="Y23" s="400" t="s">
        <v>2859</v>
      </c>
      <c r="Z23" s="399" t="s">
        <v>2860</v>
      </c>
      <c r="AA23" s="399" t="s">
        <v>370</v>
      </c>
      <c r="AB23" s="399" t="s">
        <v>2861</v>
      </c>
      <c r="AC23" s="399" t="s">
        <v>2862</v>
      </c>
      <c r="AD23" s="399" t="s">
        <v>2716</v>
      </c>
      <c r="AE23" s="400"/>
      <c r="AF23" s="399" t="s">
        <v>2857</v>
      </c>
      <c r="AG23" s="399" t="s">
        <v>2858</v>
      </c>
      <c r="AH23" s="400" t="s">
        <v>2859</v>
      </c>
      <c r="AI23" s="399" t="s">
        <v>2860</v>
      </c>
      <c r="AJ23" s="399" t="s">
        <v>370</v>
      </c>
      <c r="AK23" s="399" t="s">
        <v>2861</v>
      </c>
      <c r="AL23" s="399" t="s">
        <v>2862</v>
      </c>
      <c r="AM23" s="399" t="s">
        <v>2716</v>
      </c>
      <c r="AN23" s="400"/>
      <c r="AO23" s="399" t="s">
        <v>2857</v>
      </c>
      <c r="AP23" s="399" t="s">
        <v>2858</v>
      </c>
      <c r="AQ23" s="400" t="s">
        <v>2859</v>
      </c>
      <c r="AR23" s="399" t="s">
        <v>2860</v>
      </c>
      <c r="AS23" s="399" t="s">
        <v>370</v>
      </c>
      <c r="AT23" s="399" t="s">
        <v>2861</v>
      </c>
      <c r="AU23" s="399" t="s">
        <v>2862</v>
      </c>
      <c r="AV23" s="399" t="s">
        <v>2716</v>
      </c>
      <c r="AW23" s="400"/>
      <c r="AX23" s="399" t="s">
        <v>2857</v>
      </c>
      <c r="AY23" s="399" t="s">
        <v>2858</v>
      </c>
      <c r="AZ23" s="400" t="s">
        <v>2859</v>
      </c>
      <c r="BA23" s="399" t="s">
        <v>2860</v>
      </c>
      <c r="BB23" s="399" t="s">
        <v>370</v>
      </c>
      <c r="BC23" s="399" t="s">
        <v>2861</v>
      </c>
      <c r="BD23" s="399" t="s">
        <v>2862</v>
      </c>
      <c r="BE23" s="399" t="s">
        <v>2716</v>
      </c>
      <c r="BF23" s="400"/>
      <c r="BG23" s="399" t="s">
        <v>2857</v>
      </c>
      <c r="BH23" s="399" t="s">
        <v>2858</v>
      </c>
      <c r="BI23" s="400" t="s">
        <v>2859</v>
      </c>
      <c r="BJ23" s="399" t="s">
        <v>2860</v>
      </c>
      <c r="BK23" s="399" t="s">
        <v>370</v>
      </c>
      <c r="BL23" s="399" t="s">
        <v>2861</v>
      </c>
      <c r="BM23" s="399" t="s">
        <v>2862</v>
      </c>
      <c r="BN23" s="399" t="s">
        <v>2716</v>
      </c>
      <c r="BO23" s="401"/>
      <c r="BQ23" s="355"/>
      <c r="BR23" s="402" t="s">
        <v>371</v>
      </c>
      <c r="BS23" s="399" t="s">
        <v>2863</v>
      </c>
      <c r="BT23" s="399" t="s">
        <v>2864</v>
      </c>
      <c r="BU23" s="399" t="s">
        <v>372</v>
      </c>
      <c r="BV23" s="399" t="s">
        <v>2865</v>
      </c>
      <c r="BW23" s="399" t="s">
        <v>2862</v>
      </c>
      <c r="BX23" s="399" t="s">
        <v>2716</v>
      </c>
      <c r="BY23" s="329"/>
      <c r="BZ23" s="399" t="s">
        <v>2863</v>
      </c>
      <c r="CA23" s="399" t="s">
        <v>2864</v>
      </c>
      <c r="CB23" s="399" t="s">
        <v>370</v>
      </c>
      <c r="CC23" s="399" t="s">
        <v>2862</v>
      </c>
      <c r="CD23" s="399" t="s">
        <v>2716</v>
      </c>
      <c r="CE23" s="329"/>
      <c r="CF23" s="399" t="s">
        <v>2863</v>
      </c>
      <c r="CG23" s="399" t="s">
        <v>2864</v>
      </c>
      <c r="CH23" s="399" t="s">
        <v>370</v>
      </c>
      <c r="CI23" s="399" t="s">
        <v>2866</v>
      </c>
      <c r="CJ23" s="399" t="s">
        <v>2716</v>
      </c>
      <c r="CK23" s="401"/>
      <c r="CM23" s="355"/>
      <c r="CN23" s="403" t="s">
        <v>2868</v>
      </c>
      <c r="CO23" s="403" t="s">
        <v>2869</v>
      </c>
      <c r="CP23" s="403" t="s">
        <v>373</v>
      </c>
      <c r="CQ23" s="403" t="s">
        <v>2870</v>
      </c>
      <c r="CR23" s="403" t="s">
        <v>374</v>
      </c>
      <c r="CS23" s="403" t="s">
        <v>2871</v>
      </c>
      <c r="CT23" s="404" t="s">
        <v>2872</v>
      </c>
      <c r="CU23" s="394" t="s">
        <v>197</v>
      </c>
      <c r="CV23" s="405"/>
      <c r="CY23" s="406"/>
      <c r="DO23" s="329"/>
      <c r="DP23" s="400"/>
      <c r="DQ23" s="400"/>
      <c r="DR23" s="400"/>
      <c r="DS23" s="400"/>
    </row>
    <row r="24" spans="1:123" ht="13.5" thickBot="1">
      <c r="B24" s="407"/>
      <c r="C24" s="408">
        <f>C14</f>
        <v>2019</v>
      </c>
      <c r="D24" s="409">
        <f>'State &amp; Province Summary'!C59+'State &amp; Province Summary'!D62</f>
        <v>32930563.867002539</v>
      </c>
      <c r="E24" s="410">
        <f>'Generation Load Imports'!H15*1000+'State &amp; Province Summary'!D59</f>
        <v>56878058.400297046</v>
      </c>
      <c r="F24" s="410">
        <f>E24+((E24/CO24)*CP24)</f>
        <v>57662610.170237333</v>
      </c>
      <c r="G24" s="412">
        <f>'State &amp; Province Summary'!C20+'State &amp; Province Summary'!D20</f>
        <v>16376968779.988216</v>
      </c>
      <c r="H24" s="413">
        <f>F24-(D24)</f>
        <v>24732046.303234793</v>
      </c>
      <c r="I24" s="414">
        <f>SUM(IF(H24&gt;0,H24,0),(IF(W24&lt;Y24,Y24-W24,0)),(IF(AF24&lt;AH24,AH24-AF24,0)),(IF(AO24&lt;AQ24,AQ24-AO24,0)),(IF(AX24&lt;AZ24,AZ24-AX24,0)),(IF(BG24&lt;BI24,BI24-BG24,0)),(IF(BS24&lt;0,(BS24*-1),0)),(IF(BZ24&lt;0,(BZ24*-1),0)),(IF(CF24&lt;0,(CF24*-1),0)))</f>
        <v>30669416.281672265</v>
      </c>
      <c r="J24" s="415">
        <f>IF(H24&gt;0,H24/I24,0)</f>
        <v>0.80640746716834044</v>
      </c>
      <c r="K24" s="409">
        <f>SUM(AA24,AJ24,AS24,BB24,BK24)</f>
        <v>12821777.830164528</v>
      </c>
      <c r="L24" s="410">
        <f>SUM(BU24,CB24,CH24)</f>
        <v>12394186.818836942</v>
      </c>
      <c r="M24" s="416">
        <f>K24+L24</f>
        <v>25215964.649001472</v>
      </c>
      <c r="N24" s="417">
        <f>SUM(AD24,AM24,AV24,BE24,BN24)</f>
        <v>5455579875.4705544</v>
      </c>
      <c r="O24" s="418">
        <f>BX24</f>
        <v>736456756.44277501</v>
      </c>
      <c r="P24" s="418">
        <f>SUM(CD24+CJ24)</f>
        <v>1404356837.6498256</v>
      </c>
      <c r="Q24" s="419">
        <f>O24+P24</f>
        <v>2140813594.0926006</v>
      </c>
      <c r="R24" s="420">
        <f>N24+Q24+(IF(H24&lt;0,G24*H24/D24,0))</f>
        <v>7596393469.5631552</v>
      </c>
      <c r="S24" s="421">
        <f>G24+R24</f>
        <v>23973362249.551373</v>
      </c>
      <c r="T24" s="422">
        <f>S24/F24</f>
        <v>415.75229041444379</v>
      </c>
      <c r="V24" s="378">
        <f>C14</f>
        <v>2019</v>
      </c>
      <c r="W24" s="423">
        <f>'State &amp; Province Summary'!C64+'State &amp; Province Summary'!D67</f>
        <v>6961865.8010001183</v>
      </c>
      <c r="X24" s="411">
        <f>'Generation Load Imports'!C15*1000+'State &amp; Province Summary'!D64</f>
        <v>12723730.053426277</v>
      </c>
      <c r="Y24" s="411">
        <f>X24+((X24/CO24)*CP24)</f>
        <v>12899235.77943759</v>
      </c>
      <c r="Z24" s="411">
        <f>IF(W24&gt;Y24,W24-Y24,0)</f>
        <v>0</v>
      </c>
      <c r="AA24" s="411">
        <f>Z24*J24</f>
        <v>0</v>
      </c>
      <c r="AB24" s="424">
        <f>(('State &amp; Province Summary'!C23+'State &amp; Province Summary'!D23)*AA$15)</f>
        <v>1631143787.7648413</v>
      </c>
      <c r="AC24" s="425">
        <f>Z24*'State &amp; Province Summary'!I23</f>
        <v>0</v>
      </c>
      <c r="AD24" s="425">
        <f>AC24*J24</f>
        <v>0</v>
      </c>
      <c r="AE24" s="366"/>
      <c r="AF24" s="423">
        <f>'State &amp; Province Summary'!C69+'State &amp; Province Summary'!D72</f>
        <v>14532192.796999793</v>
      </c>
      <c r="AG24" s="411">
        <f>'Generation Load Imports'!D15*1000+'State &amp; Province Summary'!D69</f>
        <v>11638694.82973819</v>
      </c>
      <c r="AH24" s="411">
        <f>AG24+((AG24/CO24)*CP24)</f>
        <v>11799234.04090821</v>
      </c>
      <c r="AI24" s="411">
        <f>IF(AF24&gt;AH24,AF24-AH24,0)</f>
        <v>2732958.7560915835</v>
      </c>
      <c r="AJ24" s="411">
        <f>AI24*J24</f>
        <v>2203878.3483753521</v>
      </c>
      <c r="AK24" s="424">
        <f>'State &amp; Province Summary'!C26+'State &amp; Province Summary'!D26</f>
        <v>4064818201.9258285</v>
      </c>
      <c r="AL24" s="425">
        <f>AI24*'State &amp; Province Summary'!I26</f>
        <v>873060079.16391349</v>
      </c>
      <c r="AM24" s="425">
        <f>AL24*J24</f>
        <v>704042167.12436223</v>
      </c>
      <c r="AN24" s="366"/>
      <c r="AO24" s="423">
        <f>'State &amp; Province Summary'!C79+'State &amp; Province Summary'!D82</f>
        <v>6575541</v>
      </c>
      <c r="AP24" s="411">
        <f>'Generation Load Imports'!E15*1000+'State &amp; Province Summary'!D79</f>
        <v>5690474.6993536297</v>
      </c>
      <c r="AQ24" s="411">
        <f>AP24+((AP24/CO24)*CP24)</f>
        <v>5768966.6894591674</v>
      </c>
      <c r="AR24" s="411">
        <f>IF(AO24&gt;AQ24,AO24-AQ24,0)</f>
        <v>806574.31054083258</v>
      </c>
      <c r="AS24" s="411">
        <f>AR24*J24</f>
        <v>650427.54684628325</v>
      </c>
      <c r="AT24" s="424">
        <f>'State &amp; Province Summary'!C32+'State &amp; Province Summary'!D32</f>
        <v>54465328.620225817</v>
      </c>
      <c r="AU24" s="425">
        <f>AR24*'State &amp; Province Summary'!I32</f>
        <v>4891991.1821360197</v>
      </c>
      <c r="AV24" s="425">
        <f>AU24*J24</f>
        <v>3944938.2185961632</v>
      </c>
      <c r="AW24" s="366"/>
      <c r="AX24" s="423">
        <f>'State &amp; Province Summary'!C54+'State &amp; Province Summary'!D57</f>
        <v>42134207.961999401</v>
      </c>
      <c r="AY24" s="411">
        <f>'Generation Load Imports'!F15*1000+'State &amp; Province Summary'!D54</f>
        <v>29564578.181206938</v>
      </c>
      <c r="AZ24" s="411">
        <f>AY24+((AY24/CO24)*CP24)</f>
        <v>29972379.410573144</v>
      </c>
      <c r="BA24" s="411">
        <f>IF(AX24&gt;AZ24,AX24-AZ24,0)</f>
        <v>12161828.551426258</v>
      </c>
      <c r="BB24" s="411">
        <f>BA24*J24</f>
        <v>9807389.3582912553</v>
      </c>
      <c r="BC24" s="424">
        <f>'State &amp; Province Summary'!C17+'State &amp; Province Summary'!D17</f>
        <v>19628580574.768425</v>
      </c>
      <c r="BD24" s="425">
        <f>BA24*'State &amp; Province Summary'!I17</f>
        <v>5709472218.6421223</v>
      </c>
      <c r="BE24" s="425">
        <f>BD24*J24</f>
        <v>4604161030.7031994</v>
      </c>
      <c r="BF24" s="366"/>
      <c r="BG24" s="423">
        <f>'State &amp; Province Summary'!C74+'State &amp; Province Summary'!D77</f>
        <v>8291330.6920000082</v>
      </c>
      <c r="BH24" s="411">
        <f>'Generation Load Imports'!G15*1000+'State &amp; Province Summary'!D74</f>
        <v>7982707.3567881985</v>
      </c>
      <c r="BI24" s="411">
        <f>BH24+((BH24/CO24)*CP24)</f>
        <v>8092817.4301948333</v>
      </c>
      <c r="BJ24" s="411">
        <f>IF(BG24&gt;BI24,BG24-BI24,0)</f>
        <v>198513.26180517487</v>
      </c>
      <c r="BK24" s="411">
        <f>BJ24*J24</f>
        <v>160082.57665163671</v>
      </c>
      <c r="BL24" s="424">
        <f>'State &amp; Province Summary'!C29+'State &amp; Province Summary'!D29</f>
        <v>6316400948.6405945</v>
      </c>
      <c r="BM24" s="425">
        <f>BJ24*'State &amp; Province Summary'!I29</f>
        <v>177865093.34796971</v>
      </c>
      <c r="BN24" s="425">
        <f>BM24*J24</f>
        <v>143431739.42439669</v>
      </c>
      <c r="BO24" s="375"/>
      <c r="BQ24" s="378">
        <f>C14</f>
        <v>2019</v>
      </c>
      <c r="BR24" s="411">
        <f>'State &amp; Province Summary'!C84</f>
        <v>129482626.34099999</v>
      </c>
      <c r="BS24" s="426">
        <f>'State &amp; Province Summary'!C85+'State &amp; Province Summary'!D87</f>
        <v>2284990</v>
      </c>
      <c r="BT24" s="411">
        <f>IF(BS24&gt;0,BS24,0)</f>
        <v>2284990</v>
      </c>
      <c r="BU24" s="411">
        <f>BT24*J24</f>
        <v>1842632.9984049862</v>
      </c>
      <c r="BV24" s="424">
        <f>'State &amp; Province Summary'!C35+'State &amp; Province Summary'!D35</f>
        <v>50370652262.173553</v>
      </c>
      <c r="BW24" s="425">
        <f>BT24*(BV24/(BR24+'State &amp; Province Summary'!D87))</f>
        <v>913256370.29231155</v>
      </c>
      <c r="BX24" s="425">
        <f>BW24*J24</f>
        <v>736456756.44277501</v>
      </c>
      <c r="BY24" s="366"/>
      <c r="BZ24" s="411">
        <f>'State &amp; Province Summary'!C90+'State &amp; Province Summary'!D92</f>
        <v>2955353</v>
      </c>
      <c r="CA24" s="427">
        <f>IF(BZ24&gt;0,BZ24,0)</f>
        <v>2955353</v>
      </c>
      <c r="CB24" s="428">
        <f>CA24*J24</f>
        <v>2383218.7273183563</v>
      </c>
      <c r="CC24" s="425">
        <f>BZ24*(('State &amp; Province Summary'!C38+'State &amp; Province Summary'!D38)/(('State &amp; Province Summary'!C89+'State &amp; Province Summary'!D92)))</f>
        <v>1714489706.8814068</v>
      </c>
      <c r="CD24" s="425">
        <f>J24*CC24</f>
        <v>1382577302.0124257</v>
      </c>
      <c r="CE24" s="366"/>
      <c r="CF24" s="411">
        <f>'State &amp; Province Summary'!C95+'State &amp; Province Summary'!D97</f>
        <v>10129290</v>
      </c>
      <c r="CG24" s="427">
        <f>IF(CF24&gt;0,CF24,0)</f>
        <v>10129290</v>
      </c>
      <c r="CH24" s="428">
        <f>CG24*J24</f>
        <v>8168335.0931135993</v>
      </c>
      <c r="CI24" s="425">
        <f>CF24*(('State &amp; Province Summary'!C41+'State &amp; Province Summary'!D41)/('State &amp; Province Summary'!C94+'State &amp; Province Summary'!D97))</f>
        <v>27008102.633123666</v>
      </c>
      <c r="CJ24" s="425">
        <f>J24*CI24</f>
        <v>21779535.637399841</v>
      </c>
      <c r="CK24" s="375"/>
      <c r="CM24" s="378">
        <f>C14</f>
        <v>2019</v>
      </c>
      <c r="CN24" s="423">
        <f>'State &amp; Province Summary'!C99+'State &amp; Province Summary'!D102</f>
        <v>111425702.11900185</v>
      </c>
      <c r="CO24" s="411">
        <f>'Generation Load Imports'!B15*1000+'State &amp; Province Summary'!D99</f>
        <v>124478243.52081029</v>
      </c>
      <c r="CP24" s="429">
        <f>'Generation Load Imports'!F11*1000</f>
        <v>1717000</v>
      </c>
      <c r="CQ24" s="429">
        <f>CO24+CP24</f>
        <v>126195243.52081029</v>
      </c>
      <c r="CR24" s="411">
        <f>CQ24-CN24</f>
        <v>14769541.401808441</v>
      </c>
      <c r="CS24" s="425">
        <f>G24+AB24+AK24+AT24+BC24+BL24+BW24+CC24+CI24</f>
        <v>50727131801.514977</v>
      </c>
      <c r="CT24" s="430">
        <f>CS24/CQ24</f>
        <v>401.97340554400364</v>
      </c>
      <c r="CU24" s="425">
        <f>CT24*F24</f>
        <v>23178835782.6866</v>
      </c>
      <c r="CV24" s="431"/>
      <c r="CY24" s="432"/>
      <c r="DO24" s="366"/>
      <c r="DP24" s="433"/>
      <c r="DQ24" s="433"/>
      <c r="DR24" s="433"/>
      <c r="DS24" s="434"/>
    </row>
    <row r="25" spans="1:123" ht="13.5" thickBot="1">
      <c r="B25" s="435"/>
      <c r="C25" s="436"/>
      <c r="D25" s="436"/>
      <c r="E25" s="436"/>
      <c r="F25" s="437"/>
      <c r="G25" s="438"/>
      <c r="H25" s="436"/>
      <c r="I25" s="436"/>
      <c r="J25" s="436"/>
      <c r="K25" s="436"/>
      <c r="L25" s="436"/>
      <c r="M25" s="436"/>
      <c r="N25" s="436"/>
      <c r="O25" s="436"/>
      <c r="P25" s="436"/>
      <c r="Q25" s="436"/>
      <c r="R25" s="436"/>
      <c r="S25" s="436"/>
      <c r="T25" s="439"/>
      <c r="V25" s="435"/>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9"/>
      <c r="BQ25" s="435"/>
      <c r="BR25" s="440"/>
      <c r="BS25" s="436"/>
      <c r="BT25" s="436"/>
      <c r="BU25" s="436"/>
      <c r="BV25" s="436"/>
      <c r="BW25" s="436"/>
      <c r="BX25" s="436"/>
      <c r="BY25" s="436"/>
      <c r="BZ25" s="440"/>
      <c r="CA25" s="436"/>
      <c r="CB25" s="436"/>
      <c r="CC25" s="436"/>
      <c r="CD25" s="437"/>
      <c r="CE25" s="436"/>
      <c r="CF25" s="436"/>
      <c r="CG25" s="436"/>
      <c r="CH25" s="436"/>
      <c r="CI25" s="436"/>
      <c r="CJ25" s="437"/>
      <c r="CK25" s="439"/>
      <c r="CM25" s="435"/>
      <c r="CN25" s="436"/>
      <c r="CO25" s="436"/>
      <c r="CP25" s="436"/>
      <c r="CQ25" s="436"/>
      <c r="CR25" s="436"/>
      <c r="CS25" s="437"/>
      <c r="CT25" s="437"/>
      <c r="CU25" s="436"/>
      <c r="CV25" s="439"/>
      <c r="CY25" s="441"/>
    </row>
    <row r="26" spans="1:123" ht="15.75" customHeight="1">
      <c r="D26" s="432"/>
      <c r="F26" s="442"/>
      <c r="G26" s="442"/>
      <c r="H26" s="432"/>
      <c r="I26" s="432"/>
      <c r="J26" s="443"/>
      <c r="K26" s="432"/>
      <c r="L26" s="432"/>
      <c r="N26" s="432"/>
      <c r="P26" s="433"/>
      <c r="Q26" s="366"/>
      <c r="AA26" s="442"/>
      <c r="AB26" s="444"/>
      <c r="AC26" s="445"/>
      <c r="AI26" s="432"/>
      <c r="AK26" s="444"/>
      <c r="AL26" s="432"/>
      <c r="AM26" s="432"/>
      <c r="AO26" s="444"/>
      <c r="AP26" s="444"/>
      <c r="AQ26" s="444"/>
      <c r="AR26" s="444"/>
      <c r="AS26" s="444"/>
      <c r="AT26" s="444"/>
      <c r="AU26" s="444"/>
      <c r="AV26" s="444"/>
      <c r="BB26" s="432"/>
      <c r="BC26" s="444"/>
      <c r="BE26" s="432"/>
      <c r="BG26" s="432"/>
      <c r="BH26" s="432"/>
      <c r="BI26" s="432"/>
      <c r="BL26" s="444"/>
      <c r="BQ26" s="446"/>
      <c r="BR26" s="447"/>
      <c r="BS26" s="446"/>
      <c r="CV26" s="366"/>
      <c r="CW26" s="366"/>
      <c r="CY26" s="448"/>
      <c r="CZ26" s="366"/>
      <c r="DA26" s="449"/>
      <c r="DB26" s="366"/>
    </row>
    <row r="27" spans="1:123" ht="15.75" customHeight="1" thickBot="1">
      <c r="I27" s="337"/>
      <c r="P27" s="366"/>
      <c r="Q27" s="366"/>
      <c r="AM27" s="432"/>
      <c r="BE27" s="432"/>
      <c r="BI27" s="432"/>
      <c r="BQ27" s="446"/>
      <c r="BR27" s="446"/>
      <c r="BS27" s="446"/>
      <c r="CV27" s="366"/>
      <c r="CW27" s="366"/>
      <c r="CY27" s="432"/>
      <c r="CZ27" s="366"/>
      <c r="DA27" s="449"/>
      <c r="DB27" s="366"/>
    </row>
    <row r="28" spans="1:123" ht="15.75" customHeight="1">
      <c r="B28" s="367" t="s">
        <v>1620</v>
      </c>
      <c r="C28" s="368"/>
      <c r="D28" s="368"/>
      <c r="E28" s="368"/>
      <c r="F28" s="368"/>
      <c r="G28" s="369"/>
      <c r="H28" s="370"/>
      <c r="I28" s="370"/>
      <c r="J28" s="370"/>
      <c r="K28" s="370"/>
      <c r="L28" s="370"/>
      <c r="M28" s="370"/>
      <c r="N28" s="370"/>
      <c r="O28" s="370"/>
      <c r="P28" s="370"/>
      <c r="Q28" s="370"/>
      <c r="R28" s="370"/>
      <c r="S28" s="370"/>
      <c r="T28" s="372"/>
      <c r="U28" s="366"/>
      <c r="V28" s="373" t="s">
        <v>352</v>
      </c>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2"/>
      <c r="BQ28" s="373" t="s">
        <v>353</v>
      </c>
      <c r="BR28" s="370"/>
      <c r="BS28" s="370"/>
      <c r="BT28" s="370"/>
      <c r="BU28" s="370"/>
      <c r="BV28" s="370"/>
      <c r="BW28" s="370"/>
      <c r="BX28" s="370"/>
      <c r="BY28" s="370"/>
      <c r="BZ28" s="370"/>
      <c r="CA28" s="370"/>
      <c r="CB28" s="370"/>
      <c r="CC28" s="370"/>
      <c r="CD28" s="370"/>
      <c r="CE28" s="370"/>
      <c r="CF28" s="370"/>
      <c r="CG28" s="370"/>
      <c r="CH28" s="370"/>
      <c r="CI28" s="370"/>
      <c r="CJ28" s="370"/>
      <c r="CK28" s="372"/>
      <c r="CM28" s="373" t="s">
        <v>354</v>
      </c>
      <c r="CN28" s="370"/>
      <c r="CO28" s="370"/>
      <c r="CP28" s="370"/>
      <c r="CQ28" s="370"/>
      <c r="CR28" s="370"/>
      <c r="CS28" s="370"/>
      <c r="CT28" s="370"/>
      <c r="CU28" s="370"/>
      <c r="CV28" s="372"/>
      <c r="CZ28" s="366"/>
      <c r="DA28" s="449"/>
      <c r="DB28" s="366"/>
    </row>
    <row r="29" spans="1:123" ht="15.75" customHeight="1" thickBot="1">
      <c r="B29" s="378"/>
      <c r="C29" s="366"/>
      <c r="D29" s="366"/>
      <c r="E29" s="366"/>
      <c r="F29" s="366"/>
      <c r="G29" s="366"/>
      <c r="H29" s="366"/>
      <c r="I29" s="366"/>
      <c r="J29" s="366"/>
      <c r="K29" s="366"/>
      <c r="L29" s="366"/>
      <c r="M29" s="366"/>
      <c r="N29" s="366"/>
      <c r="O29" s="366"/>
      <c r="P29" s="366"/>
      <c r="Q29" s="366"/>
      <c r="R29" s="366"/>
      <c r="S29" s="366"/>
      <c r="T29" s="375"/>
      <c r="U29" s="366"/>
      <c r="V29" s="376" t="s">
        <v>200</v>
      </c>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75"/>
      <c r="BQ29" s="376" t="s">
        <v>200</v>
      </c>
      <c r="BR29" s="366"/>
      <c r="BS29" s="366"/>
      <c r="BT29" s="366"/>
      <c r="BU29" s="366"/>
      <c r="BV29" s="366"/>
      <c r="BW29" s="366"/>
      <c r="BX29" s="366"/>
      <c r="BY29" s="366" t="s">
        <v>375</v>
      </c>
      <c r="BZ29" s="366"/>
      <c r="CA29" s="366"/>
      <c r="CB29" s="366"/>
      <c r="CC29" s="366"/>
      <c r="CD29" s="366"/>
      <c r="CE29" s="366"/>
      <c r="CF29" s="366"/>
      <c r="CG29" s="366"/>
      <c r="CH29" s="366"/>
      <c r="CI29" s="366"/>
      <c r="CJ29" s="366"/>
      <c r="CK29" s="375"/>
      <c r="CM29" s="378"/>
      <c r="CN29" s="366"/>
      <c r="CO29" s="366"/>
      <c r="CP29" s="366"/>
      <c r="CQ29" s="366"/>
      <c r="CR29" s="366"/>
      <c r="CS29" s="366"/>
      <c r="CT29" s="366"/>
      <c r="CU29" s="366"/>
      <c r="CV29" s="375"/>
      <c r="CZ29" s="366"/>
      <c r="DA29" s="449"/>
      <c r="DB29" s="366"/>
    </row>
    <row r="30" spans="1:123" ht="15.75" customHeight="1">
      <c r="B30" s="378"/>
      <c r="C30" s="366"/>
      <c r="D30" s="835" t="s">
        <v>356</v>
      </c>
      <c r="E30" s="845"/>
      <c r="F30" s="845"/>
      <c r="G30" s="836"/>
      <c r="H30" s="831" t="s">
        <v>357</v>
      </c>
      <c r="I30" s="835" t="s">
        <v>358</v>
      </c>
      <c r="J30" s="836"/>
      <c r="K30" s="835" t="s">
        <v>359</v>
      </c>
      <c r="L30" s="845"/>
      <c r="M30" s="836"/>
      <c r="N30" s="831" t="s">
        <v>199</v>
      </c>
      <c r="O30" s="835" t="s">
        <v>361</v>
      </c>
      <c r="P30" s="845"/>
      <c r="Q30" s="836"/>
      <c r="R30" s="851" t="s">
        <v>376</v>
      </c>
      <c r="S30" s="831" t="s">
        <v>377</v>
      </c>
      <c r="T30" s="831" t="s">
        <v>203</v>
      </c>
      <c r="U30" s="450"/>
      <c r="V30" s="378"/>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75"/>
      <c r="BQ30" s="378"/>
      <c r="BR30" s="366"/>
      <c r="BS30" s="366"/>
      <c r="BT30" s="366"/>
      <c r="BU30" s="366"/>
      <c r="BV30" s="366"/>
      <c r="BW30" s="366"/>
      <c r="BX30" s="366"/>
      <c r="BY30" s="366"/>
      <c r="BZ30" s="366"/>
      <c r="CA30" s="366"/>
      <c r="CB30" s="366"/>
      <c r="CC30" s="366"/>
      <c r="CD30" s="366"/>
      <c r="CE30" s="366"/>
      <c r="CF30" s="366"/>
      <c r="CG30" s="366"/>
      <c r="CH30" s="366"/>
      <c r="CI30" s="366"/>
      <c r="CJ30" s="366"/>
      <c r="CK30" s="375"/>
      <c r="CM30" s="378"/>
      <c r="CN30" s="366"/>
      <c r="CO30" s="366"/>
      <c r="CP30" s="366"/>
      <c r="CQ30" s="366"/>
      <c r="CR30" s="366"/>
      <c r="CS30" s="366"/>
      <c r="CT30" s="366"/>
      <c r="CU30" s="366"/>
      <c r="CV30" s="375"/>
      <c r="CZ30" s="366"/>
      <c r="DA30" s="449"/>
      <c r="DB30" s="366"/>
    </row>
    <row r="31" spans="1:123" ht="30.75" customHeight="1" thickBot="1">
      <c r="B31" s="378"/>
      <c r="C31" s="366"/>
      <c r="D31" s="846"/>
      <c r="E31" s="847"/>
      <c r="F31" s="847"/>
      <c r="G31" s="848"/>
      <c r="H31" s="832"/>
      <c r="I31" s="846"/>
      <c r="J31" s="848"/>
      <c r="K31" s="846"/>
      <c r="L31" s="847"/>
      <c r="M31" s="848"/>
      <c r="N31" s="832"/>
      <c r="O31" s="846"/>
      <c r="P31" s="847"/>
      <c r="Q31" s="848"/>
      <c r="R31" s="852"/>
      <c r="S31" s="832"/>
      <c r="T31" s="832"/>
      <c r="U31" s="450"/>
      <c r="V31" s="378"/>
      <c r="W31" s="379" t="s">
        <v>92</v>
      </c>
      <c r="X31" s="380"/>
      <c r="Y31" s="380"/>
      <c r="Z31" s="380"/>
      <c r="AA31" s="380"/>
      <c r="AB31" s="451"/>
      <c r="AC31" s="380"/>
      <c r="AD31" s="380"/>
      <c r="AE31" s="366"/>
      <c r="AF31" s="379" t="s">
        <v>98</v>
      </c>
      <c r="AG31" s="380"/>
      <c r="AH31" s="380"/>
      <c r="AI31" s="380"/>
      <c r="AJ31" s="380"/>
      <c r="AK31" s="380"/>
      <c r="AL31" s="380"/>
      <c r="AM31" s="380"/>
      <c r="AN31" s="366"/>
      <c r="AO31" s="379" t="s">
        <v>363</v>
      </c>
      <c r="AP31" s="380"/>
      <c r="AQ31" s="380"/>
      <c r="AR31" s="380"/>
      <c r="AS31" s="380"/>
      <c r="AT31" s="380"/>
      <c r="AU31" s="380"/>
      <c r="AV31" s="380"/>
      <c r="AW31" s="366"/>
      <c r="AX31" s="452" t="s">
        <v>43</v>
      </c>
      <c r="AY31" s="453"/>
      <c r="AZ31" s="453"/>
      <c r="BA31" s="453"/>
      <c r="BB31" s="453"/>
      <c r="BC31" s="453"/>
      <c r="BD31" s="453"/>
      <c r="BE31" s="453"/>
      <c r="BF31" s="366"/>
      <c r="BG31" s="379" t="s">
        <v>136</v>
      </c>
      <c r="BH31" s="380"/>
      <c r="BI31" s="380"/>
      <c r="BJ31" s="380"/>
      <c r="BK31" s="380"/>
      <c r="BL31" s="380"/>
      <c r="BM31" s="380"/>
      <c r="BN31" s="380"/>
      <c r="BO31" s="375"/>
      <c r="BQ31" s="378"/>
      <c r="BR31" s="452" t="s">
        <v>59</v>
      </c>
      <c r="BS31" s="453"/>
      <c r="BT31" s="453"/>
      <c r="BU31" s="453"/>
      <c r="BV31" s="452"/>
      <c r="BW31" s="452"/>
      <c r="BX31" s="453"/>
      <c r="BY31" s="366"/>
      <c r="BZ31" s="379" t="s">
        <v>235</v>
      </c>
      <c r="CA31" s="379"/>
      <c r="CB31" s="380"/>
      <c r="CC31" s="380"/>
      <c r="CD31" s="380"/>
      <c r="CE31" s="366"/>
      <c r="CF31" s="379" t="s">
        <v>234</v>
      </c>
      <c r="CG31" s="379"/>
      <c r="CH31" s="380"/>
      <c r="CI31" s="380"/>
      <c r="CJ31" s="380"/>
      <c r="CK31" s="375"/>
      <c r="CM31" s="378"/>
      <c r="CN31" s="381" t="s">
        <v>365</v>
      </c>
      <c r="CO31" s="382"/>
      <c r="CP31" s="383"/>
      <c r="CQ31" s="383"/>
      <c r="CR31" s="383"/>
      <c r="CS31" s="383"/>
      <c r="CT31" s="383"/>
      <c r="CU31" s="384"/>
      <c r="CV31" s="385"/>
      <c r="CZ31" s="366"/>
      <c r="DA31" s="449"/>
      <c r="DB31" s="366"/>
    </row>
    <row r="32" spans="1:123" s="337" customFormat="1" ht="76.5" customHeight="1">
      <c r="B32" s="355"/>
      <c r="C32" s="387" t="s">
        <v>378</v>
      </c>
      <c r="D32" s="388" t="s">
        <v>2828</v>
      </c>
      <c r="E32" s="389" t="s">
        <v>2829</v>
      </c>
      <c r="F32" s="390" t="s">
        <v>2845</v>
      </c>
      <c r="G32" s="391" t="s">
        <v>2846</v>
      </c>
      <c r="H32" s="392" t="s">
        <v>2831</v>
      </c>
      <c r="I32" s="388" t="s">
        <v>2832</v>
      </c>
      <c r="J32" s="391" t="s">
        <v>366</v>
      </c>
      <c r="K32" s="388" t="s">
        <v>367</v>
      </c>
      <c r="L32" s="389" t="s">
        <v>368</v>
      </c>
      <c r="M32" s="391" t="s">
        <v>369</v>
      </c>
      <c r="N32" s="388" t="s">
        <v>2847</v>
      </c>
      <c r="O32" s="388" t="s">
        <v>2848</v>
      </c>
      <c r="P32" s="389" t="s">
        <v>2849</v>
      </c>
      <c r="Q32" s="391" t="s">
        <v>2850</v>
      </c>
      <c r="R32" s="396" t="s">
        <v>2851</v>
      </c>
      <c r="S32" s="387" t="s">
        <v>2838</v>
      </c>
      <c r="T32" s="397" t="s">
        <v>2852</v>
      </c>
      <c r="U32" s="329"/>
      <c r="V32" s="398"/>
      <c r="W32" s="399" t="s">
        <v>2857</v>
      </c>
      <c r="X32" s="399" t="s">
        <v>2858</v>
      </c>
      <c r="Y32" s="400" t="s">
        <v>2859</v>
      </c>
      <c r="Z32" s="399" t="s">
        <v>2860</v>
      </c>
      <c r="AA32" s="399" t="s">
        <v>370</v>
      </c>
      <c r="AB32" s="399" t="s">
        <v>2861</v>
      </c>
      <c r="AC32" s="399" t="s">
        <v>2862</v>
      </c>
      <c r="AD32" s="399" t="s">
        <v>2716</v>
      </c>
      <c r="AE32" s="400"/>
      <c r="AF32" s="399" t="s">
        <v>2857</v>
      </c>
      <c r="AG32" s="399" t="s">
        <v>2858</v>
      </c>
      <c r="AH32" s="400" t="s">
        <v>2859</v>
      </c>
      <c r="AI32" s="399" t="s">
        <v>2860</v>
      </c>
      <c r="AJ32" s="399" t="s">
        <v>370</v>
      </c>
      <c r="AK32" s="399" t="s">
        <v>2861</v>
      </c>
      <c r="AL32" s="399" t="s">
        <v>2862</v>
      </c>
      <c r="AM32" s="399" t="s">
        <v>2716</v>
      </c>
      <c r="AN32" s="400"/>
      <c r="AO32" s="399" t="s">
        <v>2857</v>
      </c>
      <c r="AP32" s="399" t="s">
        <v>2858</v>
      </c>
      <c r="AQ32" s="400" t="s">
        <v>2859</v>
      </c>
      <c r="AR32" s="399" t="s">
        <v>2860</v>
      </c>
      <c r="AS32" s="399" t="s">
        <v>370</v>
      </c>
      <c r="AT32" s="399" t="s">
        <v>2861</v>
      </c>
      <c r="AU32" s="399" t="s">
        <v>2862</v>
      </c>
      <c r="AV32" s="399" t="s">
        <v>2716</v>
      </c>
      <c r="AW32" s="400"/>
      <c r="AX32" s="399" t="s">
        <v>2857</v>
      </c>
      <c r="AY32" s="399" t="s">
        <v>2858</v>
      </c>
      <c r="AZ32" s="400" t="s">
        <v>2859</v>
      </c>
      <c r="BA32" s="399" t="s">
        <v>2860</v>
      </c>
      <c r="BB32" s="399" t="s">
        <v>370</v>
      </c>
      <c r="BC32" s="399" t="s">
        <v>2861</v>
      </c>
      <c r="BD32" s="399" t="s">
        <v>2862</v>
      </c>
      <c r="BE32" s="399" t="s">
        <v>2716</v>
      </c>
      <c r="BF32" s="400"/>
      <c r="BG32" s="399" t="s">
        <v>2857</v>
      </c>
      <c r="BH32" s="399" t="s">
        <v>2858</v>
      </c>
      <c r="BI32" s="400" t="s">
        <v>2859</v>
      </c>
      <c r="BJ32" s="399" t="s">
        <v>2860</v>
      </c>
      <c r="BK32" s="399" t="s">
        <v>370</v>
      </c>
      <c r="BL32" s="399" t="s">
        <v>2861</v>
      </c>
      <c r="BM32" s="399" t="s">
        <v>2862</v>
      </c>
      <c r="BN32" s="399" t="s">
        <v>2716</v>
      </c>
      <c r="BO32" s="401"/>
      <c r="BQ32" s="355"/>
      <c r="BR32" s="402" t="s">
        <v>371</v>
      </c>
      <c r="BS32" s="399" t="s">
        <v>2863</v>
      </c>
      <c r="BT32" s="399" t="s">
        <v>2864</v>
      </c>
      <c r="BU32" s="399" t="s">
        <v>372</v>
      </c>
      <c r="BV32" s="399" t="s">
        <v>2865</v>
      </c>
      <c r="BW32" s="399" t="s">
        <v>2862</v>
      </c>
      <c r="BX32" s="399" t="s">
        <v>2716</v>
      </c>
      <c r="BY32" s="329"/>
      <c r="BZ32" s="399" t="s">
        <v>2863</v>
      </c>
      <c r="CA32" s="399" t="s">
        <v>2864</v>
      </c>
      <c r="CB32" s="399" t="s">
        <v>370</v>
      </c>
      <c r="CC32" s="399" t="s">
        <v>2862</v>
      </c>
      <c r="CD32" s="399" t="s">
        <v>2716</v>
      </c>
      <c r="CE32" s="329"/>
      <c r="CF32" s="399" t="s">
        <v>2863</v>
      </c>
      <c r="CG32" s="399" t="s">
        <v>2864</v>
      </c>
      <c r="CH32" s="399" t="s">
        <v>370</v>
      </c>
      <c r="CI32" s="399" t="s">
        <v>2867</v>
      </c>
      <c r="CJ32" s="399" t="s">
        <v>2716</v>
      </c>
      <c r="CK32" s="401"/>
      <c r="CM32" s="355"/>
      <c r="CN32" s="403" t="s">
        <v>2868</v>
      </c>
      <c r="CO32" s="403" t="s">
        <v>2869</v>
      </c>
      <c r="CP32" s="403" t="s">
        <v>373</v>
      </c>
      <c r="CQ32" s="403" t="s">
        <v>2870</v>
      </c>
      <c r="CR32" s="402" t="s">
        <v>374</v>
      </c>
      <c r="CS32" s="403" t="s">
        <v>2871</v>
      </c>
      <c r="CT32" s="404" t="s">
        <v>2873</v>
      </c>
      <c r="CU32" s="399" t="s">
        <v>198</v>
      </c>
      <c r="CV32" s="405"/>
      <c r="CZ32" s="329"/>
      <c r="DA32" s="454"/>
      <c r="DB32" s="329"/>
    </row>
    <row r="33" spans="1:106" ht="15.75" customHeight="1" thickBot="1">
      <c r="B33" s="407"/>
      <c r="C33" s="408">
        <f>C24</f>
        <v>2019</v>
      </c>
      <c r="D33" s="409">
        <f>D24</f>
        <v>32930563.867002539</v>
      </c>
      <c r="E33" s="410">
        <f>E24</f>
        <v>56878058.400297046</v>
      </c>
      <c r="F33" s="410">
        <f>F24</f>
        <v>57662610.170237333</v>
      </c>
      <c r="G33" s="412">
        <f>'State &amp; Province Summary'!C21+'State &amp; Province Summary'!D21</f>
        <v>3272460304.4056153</v>
      </c>
      <c r="H33" s="455">
        <f>H24</f>
        <v>24732046.303234793</v>
      </c>
      <c r="I33" s="410">
        <f>SUM(IF(H33&gt;0,H33,0),(IF(W33&lt;Y33,Y33-W33,0)),(IF(AF33&lt;AH33,AH33-AF33,0)),(IF(AO33&lt;AQ33,AQ33-AO33,0)),(IF(AX33&lt;AZ33,AZ33-AX33,0)),(IF(BG33&lt;BI33,BI33-BG33,0)),(IF(BS33&lt;0,(BS33*-1),0)),(IF(BZ33&lt;0,(BZ33*-1),0)),(IF(CF33&lt;0,(CF33*-1),0)))</f>
        <v>30669416.281672265</v>
      </c>
      <c r="J33" s="456">
        <f>IF(H33&gt;0,H33/I33,0)</f>
        <v>0.80640746716834044</v>
      </c>
      <c r="K33" s="409">
        <f>SUM(AA33,AJ33,AS33,BB33,BK33)</f>
        <v>12821777.830164528</v>
      </c>
      <c r="L33" s="410">
        <f>SUM(BU33,CB33,CH33)</f>
        <v>12394186.818836942</v>
      </c>
      <c r="M33" s="416">
        <f>K33+L33</f>
        <v>25215964.649001472</v>
      </c>
      <c r="N33" s="417">
        <f>SUM(AD33,AM33,AV33,BE33,BN33)</f>
        <v>146304245.51784861</v>
      </c>
      <c r="O33" s="418">
        <f>BX33</f>
        <v>51284405.394739777</v>
      </c>
      <c r="P33" s="418">
        <f>SUM(CD33+CJ33)</f>
        <v>110491173.17542559</v>
      </c>
      <c r="Q33" s="419">
        <f>O33+P33</f>
        <v>161775578.57016537</v>
      </c>
      <c r="R33" s="420">
        <f>N33+Q33+(IF(H33&lt;0,G33*H33/D33,0))</f>
        <v>308079824.08801401</v>
      </c>
      <c r="S33" s="421">
        <f>G33+R33</f>
        <v>3580540128.4936295</v>
      </c>
      <c r="T33" s="422">
        <f>S33/F33</f>
        <v>62.094659224110742</v>
      </c>
      <c r="U33" s="366"/>
      <c r="V33" s="378">
        <f>C14</f>
        <v>2019</v>
      </c>
      <c r="W33" s="423">
        <f>W24</f>
        <v>6961865.8010001183</v>
      </c>
      <c r="X33" s="411">
        <f>X24</f>
        <v>12723730.053426277</v>
      </c>
      <c r="Y33" s="411">
        <f>Y24</f>
        <v>12899235.77943759</v>
      </c>
      <c r="Z33" s="411">
        <f>IF(W33&gt;Y33,W33-Y33,0)</f>
        <v>0</v>
      </c>
      <c r="AA33" s="411">
        <f>Z33*J33</f>
        <v>0</v>
      </c>
      <c r="AB33" s="424">
        <f>(('State &amp; Province Summary'!C24+'State &amp; Province Summary'!D24)*AA$15)</f>
        <v>1040464363.8572528</v>
      </c>
      <c r="AC33" s="424">
        <f>Z33*'State &amp; Province Summary'!I24</f>
        <v>0</v>
      </c>
      <c r="AD33" s="424">
        <f>AC33*J33</f>
        <v>0</v>
      </c>
      <c r="AE33" s="366"/>
      <c r="AF33" s="423">
        <f>AF24</f>
        <v>14532192.796999793</v>
      </c>
      <c r="AG33" s="411">
        <f>AG24</f>
        <v>11638694.82973819</v>
      </c>
      <c r="AH33" s="411">
        <f>AH24</f>
        <v>11799234.04090821</v>
      </c>
      <c r="AI33" s="411">
        <f>IF(AF33&gt;AH33,AF33-AH33,0)</f>
        <v>2732958.7560915835</v>
      </c>
      <c r="AJ33" s="411">
        <f>AI33*J33</f>
        <v>2203878.3483753521</v>
      </c>
      <c r="AK33" s="424">
        <f>'State &amp; Province Summary'!C27+'State &amp; Province Summary'!D27</f>
        <v>2837487920.6123924</v>
      </c>
      <c r="AL33" s="424">
        <f>AI33*'State &amp; Province Summary'!I27</f>
        <v>96756062.517760783</v>
      </c>
      <c r="AM33" s="424">
        <f>AL33*J33</f>
        <v>78024811.308129072</v>
      </c>
      <c r="AN33" s="378"/>
      <c r="AO33" s="423">
        <f>AO24</f>
        <v>6575541</v>
      </c>
      <c r="AP33" s="411">
        <f>AP24</f>
        <v>5690474.6993536297</v>
      </c>
      <c r="AQ33" s="411">
        <f>AQ24</f>
        <v>5768966.6894591674</v>
      </c>
      <c r="AR33" s="411">
        <f>IF(AO33&gt;AQ33,AO33-AQ33,0)</f>
        <v>806574.31054083258</v>
      </c>
      <c r="AS33" s="411">
        <f>AR33*J33</f>
        <v>650427.54684628325</v>
      </c>
      <c r="AT33" s="424">
        <f>'State &amp; Province Summary'!C33+'State &amp; Province Summary'!D33</f>
        <v>138013653.8957839</v>
      </c>
      <c r="AU33" s="424">
        <f>AR33*'State &amp; Province Summary'!I33</f>
        <v>84671133.378116339</v>
      </c>
      <c r="AV33" s="424">
        <f>AU33*J33</f>
        <v>68279434.209719524</v>
      </c>
      <c r="AW33" s="366"/>
      <c r="AX33" s="423">
        <f>AX24</f>
        <v>42134207.961999401</v>
      </c>
      <c r="AY33" s="411">
        <f>AY24</f>
        <v>29564578.181206938</v>
      </c>
      <c r="AZ33" s="411">
        <f>AZ24</f>
        <v>29972379.410573144</v>
      </c>
      <c r="BA33" s="411">
        <f>IF(AX33&gt;AZ33,AX33-AZ33,0)</f>
        <v>12161828.551426258</v>
      </c>
      <c r="BB33" s="411">
        <f>BA33*J33</f>
        <v>9807389.3582912553</v>
      </c>
      <c r="BC33" s="424">
        <f>'State &amp; Province Summary'!C18+'State &amp; Province Summary'!D18</f>
        <v>6901621856.1665039</v>
      </c>
      <c r="BD33" s="424">
        <f>BA33*'State &amp; Province Summary'!I18</f>
        <v>0</v>
      </c>
      <c r="BE33" s="424">
        <f>BD33*J33</f>
        <v>0</v>
      </c>
      <c r="BF33" s="366"/>
      <c r="BG33" s="423">
        <f>BG24</f>
        <v>8291330.6920000082</v>
      </c>
      <c r="BH33" s="411">
        <f>BH24</f>
        <v>7982707.3567881985</v>
      </c>
      <c r="BI33" s="411">
        <f>BI24</f>
        <v>8092817.4301948333</v>
      </c>
      <c r="BJ33" s="411">
        <f>IF(BG33&gt;BI33,BG33-BI33,0)</f>
        <v>198513.26180517487</v>
      </c>
      <c r="BK33" s="411">
        <f>BJ33*J33</f>
        <v>160082.57665163671</v>
      </c>
      <c r="BL33" s="424">
        <f>'State &amp; Province Summary'!C30+'State &amp; Province Summary'!D30</f>
        <v>665668667.22411847</v>
      </c>
      <c r="BM33" s="424">
        <f>BJ33*'State &amp; Province Summary'!I30</f>
        <v>0</v>
      </c>
      <c r="BN33" s="424">
        <f>BM33*J33</f>
        <v>0</v>
      </c>
      <c r="BO33" s="375"/>
      <c r="BQ33" s="378">
        <f>C14</f>
        <v>2019</v>
      </c>
      <c r="BR33" s="411">
        <f>BR24</f>
        <v>129482626.34099999</v>
      </c>
      <c r="BS33" s="411">
        <f>BS24</f>
        <v>2284990</v>
      </c>
      <c r="BT33" s="411">
        <f>IF(BS33&gt;0,BS33,0)</f>
        <v>2284990</v>
      </c>
      <c r="BU33" s="411">
        <f>BT33*J33</f>
        <v>1842632.9984049862</v>
      </c>
      <c r="BV33" s="424">
        <f>'State &amp; Province Summary'!C36+'State &amp; Province Summary'!D36</f>
        <v>3507645123.7792397</v>
      </c>
      <c r="BW33" s="425">
        <f>BT33*(BV33/(BR33+'State &amp; Province Summary'!D87))</f>
        <v>63596143.987632461</v>
      </c>
      <c r="BX33" s="424">
        <f>BW33*J33</f>
        <v>51284405.394739777</v>
      </c>
      <c r="BY33" s="366"/>
      <c r="BZ33" s="411">
        <f>BZ24</f>
        <v>2955353</v>
      </c>
      <c r="CA33" s="427">
        <f>IF(BZ33&gt;0,BZ33,0)</f>
        <v>2955353</v>
      </c>
      <c r="CB33" s="428">
        <f>CA33*J33</f>
        <v>2383218.7273183563</v>
      </c>
      <c r="CC33" s="425">
        <f>BZ33*(('State &amp; Province Summary'!C39+'State &amp; Province Summary'!D39)/(('State &amp; Province Summary'!C89+'State &amp; Province Summary'!D92)))</f>
        <v>0</v>
      </c>
      <c r="CD33" s="425">
        <f>J33*CC33</f>
        <v>0</v>
      </c>
      <c r="CE33" s="366"/>
      <c r="CF33" s="411">
        <f>CF24</f>
        <v>10129290</v>
      </c>
      <c r="CG33" s="427">
        <f>IF(CF33&gt;0,CF33,0)</f>
        <v>10129290</v>
      </c>
      <c r="CH33" s="428">
        <f>CG33*J33</f>
        <v>8168335.0931135993</v>
      </c>
      <c r="CI33" s="425">
        <f>CF33*(('State &amp; Province Summary'!C42+'State &amp; Province Summary'!D42)/('State &amp; Province Summary'!C94+'State &amp; Province Summary'!D97))</f>
        <v>137016555.12120917</v>
      </c>
      <c r="CJ33" s="425">
        <f>J33*CI33</f>
        <v>110491173.17542559</v>
      </c>
      <c r="CK33" s="375"/>
      <c r="CM33" s="378">
        <f>C14</f>
        <v>2019</v>
      </c>
      <c r="CN33" s="423">
        <f>CN24</f>
        <v>111425702.11900185</v>
      </c>
      <c r="CO33" s="411">
        <f>CO24</f>
        <v>124478243.52081029</v>
      </c>
      <c r="CP33" s="429">
        <f>CP24</f>
        <v>1717000</v>
      </c>
      <c r="CQ33" s="429">
        <f>CO33+CP33</f>
        <v>126195243.52081029</v>
      </c>
      <c r="CR33" s="411">
        <f>CQ33-CN33</f>
        <v>14769541.401808441</v>
      </c>
      <c r="CS33" s="425">
        <f>G33+AB33+AK33+AT33+BC33+BL33+BW33+CC33+CI33</f>
        <v>15056329465.27051</v>
      </c>
      <c r="CT33" s="430">
        <f>CS33/CQ33</f>
        <v>119.30980158366775</v>
      </c>
      <c r="CU33" s="425">
        <f>CT33*F33</f>
        <v>6879714578.2073984</v>
      </c>
      <c r="CV33" s="431"/>
      <c r="CZ33" s="366"/>
      <c r="DA33" s="449"/>
      <c r="DB33" s="366"/>
    </row>
    <row r="34" spans="1:106" ht="15.75" customHeight="1" thickBot="1">
      <c r="B34" s="435"/>
      <c r="C34" s="457"/>
      <c r="D34" s="458"/>
      <c r="E34" s="436"/>
      <c r="F34" s="459"/>
      <c r="G34" s="460"/>
      <c r="H34" s="461"/>
      <c r="I34" s="436"/>
      <c r="J34" s="436"/>
      <c r="K34" s="436"/>
      <c r="L34" s="436"/>
      <c r="M34" s="436"/>
      <c r="N34" s="436"/>
      <c r="O34" s="436"/>
      <c r="P34" s="436"/>
      <c r="Q34" s="436"/>
      <c r="R34" s="436"/>
      <c r="S34" s="436"/>
      <c r="T34" s="439"/>
      <c r="U34" s="366"/>
      <c r="V34" s="435"/>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9"/>
      <c r="BQ34" s="435"/>
      <c r="BR34" s="436"/>
      <c r="BS34" s="436"/>
      <c r="BT34" s="436"/>
      <c r="BU34" s="436"/>
      <c r="BV34" s="436"/>
      <c r="BW34" s="436"/>
      <c r="BX34" s="436"/>
      <c r="BY34" s="436"/>
      <c r="BZ34" s="440"/>
      <c r="CA34" s="436"/>
      <c r="CB34" s="436"/>
      <c r="CC34" s="436"/>
      <c r="CD34" s="437"/>
      <c r="CE34" s="436"/>
      <c r="CF34" s="436"/>
      <c r="CG34" s="436"/>
      <c r="CH34" s="436"/>
      <c r="CI34" s="436"/>
      <c r="CJ34" s="437"/>
      <c r="CK34" s="439"/>
      <c r="CM34" s="435"/>
      <c r="CN34" s="436"/>
      <c r="CO34" s="436"/>
      <c r="CP34" s="436"/>
      <c r="CQ34" s="436"/>
      <c r="CR34" s="436"/>
      <c r="CS34" s="436"/>
      <c r="CT34" s="436"/>
      <c r="CU34" s="436"/>
      <c r="CV34" s="439"/>
      <c r="CZ34" s="366"/>
      <c r="DA34" s="449"/>
      <c r="DB34" s="366"/>
    </row>
    <row r="35" spans="1:106" s="337" customFormat="1">
      <c r="A35" s="329"/>
      <c r="B35" s="329"/>
      <c r="P35" s="132"/>
      <c r="Q35" s="132"/>
      <c r="U35" s="132"/>
      <c r="V35" s="132"/>
      <c r="W35" s="132"/>
      <c r="X35" s="132"/>
      <c r="Y35" s="132"/>
      <c r="Z35" s="132"/>
      <c r="AA35" s="132"/>
      <c r="AB35" s="444"/>
      <c r="AC35" s="132"/>
      <c r="AD35" s="132"/>
      <c r="AE35" s="132"/>
      <c r="AF35" s="132"/>
      <c r="AG35" s="132"/>
      <c r="AH35" s="132"/>
      <c r="AK35" s="444"/>
      <c r="AM35" s="432"/>
      <c r="AT35" s="444"/>
      <c r="BC35" s="444"/>
      <c r="BE35" s="432"/>
      <c r="BL35" s="444"/>
    </row>
    <row r="36" spans="1:106" s="337" customFormat="1">
      <c r="A36" s="329"/>
      <c r="B36" s="329"/>
      <c r="P36" s="132"/>
      <c r="Q36" s="132"/>
      <c r="U36" s="132"/>
      <c r="V36" s="132"/>
      <c r="W36" s="132"/>
      <c r="X36" s="132"/>
      <c r="Y36" s="132"/>
      <c r="Z36" s="132"/>
      <c r="AA36" s="132"/>
      <c r="AB36" s="444"/>
      <c r="AC36" s="132"/>
      <c r="AD36" s="132"/>
      <c r="AE36" s="132"/>
      <c r="AF36" s="132"/>
      <c r="AG36" s="132"/>
      <c r="AH36" s="132"/>
      <c r="AK36" s="444"/>
      <c r="AM36" s="432"/>
      <c r="AT36" s="444"/>
      <c r="BC36" s="444"/>
      <c r="BE36" s="432"/>
      <c r="BL36" s="444"/>
    </row>
    <row r="37" spans="1:106" s="337" customFormat="1">
      <c r="A37" s="329"/>
      <c r="B37" s="329"/>
      <c r="P37" s="132"/>
      <c r="Q37" s="132"/>
      <c r="U37" s="132"/>
      <c r="V37" s="132"/>
      <c r="W37" s="132"/>
      <c r="X37" s="132"/>
      <c r="Y37" s="132"/>
      <c r="Z37" s="132"/>
      <c r="AA37" s="132"/>
      <c r="AB37" s="444"/>
      <c r="AC37" s="132"/>
      <c r="AD37" s="132"/>
      <c r="AE37" s="132"/>
      <c r="AF37" s="132"/>
      <c r="AG37" s="132"/>
      <c r="AH37" s="132"/>
      <c r="AK37" s="444"/>
      <c r="AM37" s="432"/>
      <c r="AT37" s="444"/>
      <c r="BC37" s="444"/>
      <c r="BE37" s="432"/>
      <c r="BL37" s="444"/>
    </row>
    <row r="38" spans="1:106" s="337" customFormat="1">
      <c r="A38" s="329"/>
      <c r="B38" s="329"/>
      <c r="D38" s="329"/>
      <c r="E38" s="329"/>
      <c r="F38" s="329"/>
      <c r="G38" s="329"/>
      <c r="H38" s="329"/>
      <c r="N38" s="329"/>
      <c r="O38" s="329"/>
      <c r="P38" s="329"/>
      <c r="Q38" s="329"/>
      <c r="R38" s="329"/>
      <c r="S38" s="329"/>
      <c r="T38" s="329"/>
      <c r="U38" s="329"/>
      <c r="V38" s="329"/>
      <c r="W38" s="329"/>
      <c r="X38" s="132"/>
      <c r="Y38" s="132"/>
      <c r="Z38" s="132"/>
      <c r="AA38" s="132"/>
      <c r="AB38" s="444"/>
      <c r="AC38" s="132"/>
      <c r="AD38" s="132"/>
      <c r="AE38" s="132"/>
      <c r="AF38" s="132"/>
      <c r="AG38" s="132"/>
      <c r="AH38" s="132"/>
      <c r="AK38" s="444"/>
      <c r="AM38" s="432"/>
      <c r="AT38" s="444"/>
      <c r="BC38" s="444"/>
      <c r="BE38" s="432"/>
      <c r="BL38" s="444"/>
    </row>
    <row r="39" spans="1:106" s="337" customFormat="1">
      <c r="A39" s="329"/>
      <c r="B39" s="329"/>
      <c r="D39" s="329"/>
      <c r="E39" s="329"/>
      <c r="F39" s="329"/>
      <c r="G39" s="329"/>
      <c r="H39" s="329"/>
      <c r="J39" s="329"/>
      <c r="K39" s="329"/>
      <c r="L39" s="329"/>
      <c r="M39" s="329"/>
      <c r="N39" s="462"/>
      <c r="O39" s="329"/>
      <c r="P39" s="329"/>
      <c r="Q39" s="329"/>
      <c r="R39" s="329"/>
      <c r="S39" s="329"/>
      <c r="T39" s="329"/>
      <c r="U39" s="329"/>
      <c r="V39" s="329"/>
      <c r="W39" s="329"/>
      <c r="X39" s="132"/>
      <c r="Y39" s="132"/>
      <c r="Z39" s="132"/>
      <c r="AA39" s="132"/>
      <c r="AB39" s="444"/>
      <c r="AC39" s="132"/>
      <c r="AD39" s="132"/>
      <c r="AE39" s="132"/>
      <c r="AF39" s="132"/>
      <c r="AG39" s="132"/>
      <c r="AH39" s="132"/>
      <c r="AK39" s="444"/>
      <c r="AM39" s="432"/>
      <c r="AT39" s="444"/>
      <c r="BC39" s="444"/>
      <c r="BE39" s="432"/>
      <c r="BL39" s="444"/>
    </row>
    <row r="40" spans="1:106">
      <c r="D40" s="462"/>
      <c r="E40" s="343"/>
      <c r="F40" s="354"/>
      <c r="G40" s="463"/>
      <c r="H40" s="464"/>
      <c r="J40" s="462"/>
      <c r="K40" s="465"/>
      <c r="L40" s="180"/>
      <c r="M40" s="329"/>
      <c r="N40" s="462"/>
      <c r="O40" s="465"/>
      <c r="P40" s="180"/>
      <c r="Q40" s="329"/>
      <c r="R40" s="329"/>
      <c r="S40" s="329"/>
      <c r="T40" s="329"/>
      <c r="U40" s="329"/>
      <c r="V40" s="329"/>
      <c r="W40" s="329"/>
      <c r="AM40" s="432"/>
      <c r="BC40" s="432"/>
      <c r="BE40" s="432"/>
    </row>
    <row r="41" spans="1:106">
      <c r="D41" s="462"/>
      <c r="E41" s="343"/>
      <c r="F41" s="354"/>
      <c r="G41" s="463"/>
      <c r="H41" s="464"/>
      <c r="J41" s="462"/>
      <c r="K41" s="465"/>
      <c r="L41" s="180"/>
      <c r="M41" s="329"/>
      <c r="N41" s="462"/>
      <c r="O41" s="465"/>
      <c r="P41" s="180"/>
      <c r="Q41" s="329"/>
      <c r="R41" s="329"/>
      <c r="S41" s="329"/>
      <c r="T41" s="329"/>
      <c r="U41" s="329"/>
      <c r="V41" s="329"/>
      <c r="W41" s="329"/>
      <c r="AM41" s="432"/>
      <c r="BC41" s="432"/>
      <c r="BE41" s="432"/>
    </row>
    <row r="42" spans="1:106">
      <c r="D42" s="462"/>
      <c r="E42" s="343"/>
      <c r="F42" s="354"/>
      <c r="G42" s="463"/>
      <c r="H42" s="464"/>
      <c r="J42" s="462"/>
      <c r="K42" s="465"/>
      <c r="L42" s="180"/>
      <c r="M42" s="329"/>
      <c r="N42" s="462"/>
      <c r="O42" s="465"/>
      <c r="P42" s="180"/>
      <c r="Q42" s="329"/>
      <c r="R42" s="329"/>
      <c r="S42" s="329"/>
      <c r="T42" s="329"/>
      <c r="U42" s="329"/>
      <c r="V42" s="329"/>
      <c r="W42" s="329"/>
      <c r="AM42" s="432"/>
      <c r="BC42" s="432"/>
      <c r="BE42" s="432"/>
    </row>
    <row r="43" spans="1:106" ht="55.5" customHeight="1">
      <c r="D43" s="466"/>
      <c r="E43" s="466"/>
      <c r="F43" s="466"/>
      <c r="G43" s="466"/>
      <c r="H43" s="466"/>
      <c r="J43" s="466"/>
      <c r="K43" s="467"/>
      <c r="L43" s="466"/>
      <c r="M43" s="329"/>
      <c r="N43" s="466"/>
      <c r="O43" s="466"/>
      <c r="P43" s="466"/>
      <c r="Q43" s="466"/>
      <c r="R43" s="467"/>
      <c r="S43" s="467"/>
      <c r="T43" s="467"/>
      <c r="U43" s="467"/>
      <c r="V43" s="467"/>
      <c r="W43" s="329"/>
    </row>
    <row r="44" spans="1:106">
      <c r="D44" s="466"/>
      <c r="E44" s="468"/>
      <c r="F44" s="468"/>
      <c r="G44" s="468"/>
      <c r="H44" s="468"/>
      <c r="J44" s="353"/>
      <c r="K44" s="468"/>
      <c r="L44" s="468"/>
      <c r="M44" s="329"/>
      <c r="N44" s="353"/>
      <c r="O44" s="468"/>
      <c r="P44" s="468"/>
      <c r="Q44" s="468"/>
      <c r="R44" s="468"/>
      <c r="S44" s="468"/>
      <c r="T44" s="468"/>
      <c r="U44" s="469"/>
      <c r="V44" s="469"/>
      <c r="W44" s="329"/>
    </row>
    <row r="45" spans="1:106" ht="14.25" customHeight="1">
      <c r="D45" s="466"/>
      <c r="E45" s="468"/>
      <c r="F45" s="468"/>
      <c r="G45" s="468"/>
      <c r="H45" s="468"/>
      <c r="J45" s="353"/>
      <c r="K45" s="468"/>
      <c r="L45" s="468"/>
      <c r="M45" s="329"/>
      <c r="N45" s="353"/>
      <c r="O45" s="468"/>
      <c r="P45" s="468"/>
      <c r="Q45" s="468"/>
      <c r="R45" s="468"/>
      <c r="S45" s="468"/>
      <c r="T45" s="468"/>
      <c r="U45" s="469"/>
      <c r="V45" s="469"/>
      <c r="W45" s="329"/>
    </row>
    <row r="46" spans="1:106">
      <c r="D46" s="466"/>
      <c r="E46" s="468"/>
      <c r="F46" s="468"/>
      <c r="G46" s="468"/>
      <c r="H46" s="468"/>
      <c r="J46" s="353"/>
      <c r="K46" s="468"/>
      <c r="L46" s="468"/>
      <c r="M46" s="329"/>
      <c r="N46" s="353"/>
      <c r="O46" s="468"/>
      <c r="P46" s="468"/>
      <c r="Q46" s="468"/>
      <c r="R46" s="468"/>
      <c r="S46" s="468"/>
      <c r="T46" s="468"/>
      <c r="U46" s="469"/>
      <c r="V46" s="469"/>
      <c r="W46" s="329"/>
      <c r="AG46" s="432"/>
      <c r="AH46" s="432"/>
    </row>
    <row r="47" spans="1:106">
      <c r="D47" s="466"/>
      <c r="E47" s="468"/>
      <c r="F47" s="468"/>
      <c r="G47" s="468"/>
      <c r="H47" s="468"/>
      <c r="J47" s="353"/>
      <c r="K47" s="468"/>
      <c r="L47" s="468"/>
      <c r="M47" s="329"/>
      <c r="N47" s="353"/>
      <c r="O47" s="468"/>
      <c r="P47" s="468"/>
      <c r="Q47" s="468"/>
      <c r="R47" s="468"/>
      <c r="S47" s="468"/>
      <c r="T47" s="468"/>
      <c r="U47" s="469"/>
      <c r="V47" s="469"/>
      <c r="W47" s="329"/>
      <c r="AG47" s="432"/>
      <c r="AH47" s="432"/>
    </row>
    <row r="48" spans="1:106">
      <c r="D48" s="466"/>
      <c r="E48" s="468"/>
      <c r="F48" s="468"/>
      <c r="G48" s="468"/>
      <c r="H48" s="468"/>
      <c r="J48" s="353"/>
      <c r="K48" s="468"/>
      <c r="L48" s="468"/>
      <c r="M48" s="329"/>
      <c r="N48" s="353"/>
      <c r="O48" s="468"/>
      <c r="P48" s="468"/>
      <c r="Q48" s="468"/>
      <c r="R48" s="468"/>
      <c r="S48" s="468"/>
      <c r="T48" s="468"/>
      <c r="U48" s="469"/>
      <c r="V48" s="469"/>
      <c r="W48" s="329"/>
      <c r="AG48" s="470"/>
      <c r="AH48" s="470"/>
    </row>
    <row r="49" spans="4:23">
      <c r="D49" s="466"/>
      <c r="E49" s="468"/>
      <c r="F49" s="468"/>
      <c r="G49" s="468"/>
      <c r="H49" s="468"/>
      <c r="J49" s="353"/>
      <c r="K49" s="468"/>
      <c r="L49" s="468"/>
      <c r="M49" s="329"/>
      <c r="N49" s="353"/>
      <c r="O49" s="468"/>
      <c r="P49" s="468"/>
      <c r="Q49" s="468"/>
      <c r="R49" s="468"/>
      <c r="S49" s="468"/>
      <c r="T49" s="468"/>
      <c r="U49" s="469"/>
      <c r="V49" s="469"/>
      <c r="W49" s="329"/>
    </row>
    <row r="50" spans="4:23">
      <c r="D50" s="353"/>
      <c r="E50" s="471"/>
      <c r="F50" s="472"/>
      <c r="G50" s="471"/>
      <c r="H50" s="468"/>
      <c r="J50" s="353"/>
      <c r="K50" s="468"/>
      <c r="L50" s="468"/>
      <c r="M50" s="329"/>
      <c r="N50" s="353"/>
      <c r="O50" s="473"/>
      <c r="P50" s="473"/>
      <c r="Q50" s="473"/>
      <c r="R50" s="473"/>
      <c r="S50" s="473"/>
      <c r="T50" s="473"/>
      <c r="U50" s="329"/>
      <c r="V50" s="329"/>
      <c r="W50" s="329"/>
    </row>
    <row r="51" spans="4:23">
      <c r="D51" s="353"/>
      <c r="E51" s="471"/>
      <c r="F51" s="472"/>
      <c r="G51" s="471"/>
      <c r="H51" s="468"/>
      <c r="J51" s="353"/>
      <c r="K51" s="468"/>
      <c r="L51" s="468"/>
      <c r="M51" s="329"/>
      <c r="N51" s="329"/>
      <c r="O51" s="180"/>
      <c r="P51" s="180"/>
      <c r="Q51" s="180"/>
      <c r="R51" s="180"/>
      <c r="S51" s="180"/>
      <c r="T51" s="180"/>
      <c r="U51" s="329"/>
      <c r="V51" s="329"/>
      <c r="W51" s="329"/>
    </row>
    <row r="52" spans="4:23">
      <c r="D52" s="353"/>
      <c r="E52" s="471"/>
      <c r="F52" s="472"/>
      <c r="G52" s="471"/>
      <c r="H52" s="468"/>
      <c r="J52" s="353"/>
      <c r="K52" s="468"/>
      <c r="L52" s="468"/>
      <c r="M52" s="329"/>
      <c r="N52" s="353"/>
      <c r="O52" s="473"/>
      <c r="P52" s="473"/>
      <c r="Q52" s="329"/>
      <c r="R52" s="351"/>
      <c r="S52" s="329"/>
      <c r="T52" s="329"/>
      <c r="U52" s="329"/>
      <c r="V52" s="329"/>
      <c r="W52" s="329"/>
    </row>
    <row r="53" spans="4:23">
      <c r="D53" s="353"/>
      <c r="E53" s="473"/>
      <c r="F53" s="473"/>
      <c r="G53" s="473"/>
      <c r="H53" s="473"/>
      <c r="J53" s="353"/>
      <c r="K53" s="473"/>
      <c r="L53" s="473"/>
      <c r="M53" s="329"/>
      <c r="N53" s="329"/>
      <c r="O53" s="361"/>
      <c r="P53" s="329"/>
      <c r="Q53" s="329"/>
      <c r="R53" s="329"/>
      <c r="S53" s="329"/>
      <c r="T53" s="329"/>
      <c r="U53" s="329"/>
      <c r="V53" s="329"/>
      <c r="W53" s="329"/>
    </row>
    <row r="54" spans="4:23">
      <c r="D54" s="353"/>
      <c r="E54" s="473"/>
      <c r="F54" s="473"/>
      <c r="G54" s="473"/>
      <c r="H54" s="473"/>
      <c r="J54" s="353"/>
      <c r="K54" s="473"/>
      <c r="L54" s="473"/>
      <c r="M54" s="329"/>
      <c r="N54" s="329"/>
      <c r="O54" s="329"/>
      <c r="P54" s="329"/>
      <c r="Q54" s="361"/>
      <c r="R54" s="329"/>
      <c r="S54" s="329"/>
      <c r="T54" s="329"/>
      <c r="U54" s="329"/>
      <c r="V54" s="329"/>
      <c r="W54" s="329"/>
    </row>
    <row r="55" spans="4:23">
      <c r="D55" s="353"/>
      <c r="E55" s="473"/>
      <c r="F55" s="473"/>
      <c r="G55" s="473"/>
      <c r="H55" s="473"/>
      <c r="J55" s="353"/>
      <c r="K55" s="473"/>
      <c r="L55" s="473"/>
      <c r="M55" s="329"/>
      <c r="N55" s="329"/>
      <c r="O55" s="361"/>
      <c r="P55" s="329"/>
      <c r="Q55" s="474"/>
      <c r="R55" s="329"/>
      <c r="S55" s="329"/>
      <c r="T55" s="329"/>
      <c r="U55" s="329"/>
      <c r="V55" s="329"/>
      <c r="W55" s="329"/>
    </row>
    <row r="56" spans="4:23">
      <c r="D56" s="180"/>
      <c r="E56" s="329"/>
      <c r="F56" s="329"/>
      <c r="G56" s="474"/>
      <c r="H56" s="329"/>
      <c r="J56" s="180"/>
      <c r="K56" s="361"/>
      <c r="L56" s="329"/>
      <c r="M56" s="329"/>
      <c r="O56" s="432"/>
      <c r="Q56" s="432"/>
    </row>
    <row r="57" spans="4:23">
      <c r="D57" s="329"/>
      <c r="E57" s="329"/>
      <c r="F57" s="329"/>
      <c r="G57" s="329"/>
      <c r="H57" s="329"/>
      <c r="J57" s="329"/>
      <c r="K57" s="329"/>
      <c r="L57" s="361"/>
      <c r="M57" s="329"/>
      <c r="O57" s="432"/>
    </row>
    <row r="58" spans="4:23">
      <c r="D58" s="353"/>
      <c r="E58" s="329"/>
      <c r="F58" s="329"/>
      <c r="G58" s="329"/>
      <c r="H58" s="329"/>
      <c r="J58" s="353"/>
      <c r="N58" s="337"/>
    </row>
    <row r="59" spans="4:23">
      <c r="D59" s="353"/>
      <c r="E59" s="329"/>
      <c r="F59" s="329"/>
      <c r="G59" s="329"/>
      <c r="H59" s="474"/>
      <c r="J59" s="337"/>
      <c r="N59" s="353"/>
    </row>
    <row r="60" spans="4:23">
      <c r="D60" s="337"/>
      <c r="J60" s="337"/>
      <c r="N60" s="337"/>
    </row>
    <row r="61" spans="4:23">
      <c r="D61" s="337"/>
      <c r="J61" s="337"/>
      <c r="N61" s="337"/>
    </row>
    <row r="62" spans="4:23">
      <c r="J62" s="337"/>
      <c r="N62" s="337"/>
    </row>
    <row r="63" spans="4:23">
      <c r="N63" s="337"/>
    </row>
    <row r="64" spans="4:23">
      <c r="N64" s="337"/>
    </row>
    <row r="65" spans="14:14">
      <c r="N65" s="337"/>
    </row>
  </sheetData>
  <mergeCells count="31">
    <mergeCell ref="P14:Q14"/>
    <mergeCell ref="N15:O15"/>
    <mergeCell ref="N16:O16"/>
    <mergeCell ref="N17:O17"/>
    <mergeCell ref="W10:AB10"/>
    <mergeCell ref="W13:AB13"/>
    <mergeCell ref="N14:O14"/>
    <mergeCell ref="O30:Q31"/>
    <mergeCell ref="T30:T31"/>
    <mergeCell ref="R21:R22"/>
    <mergeCell ref="S21:S22"/>
    <mergeCell ref="R30:R31"/>
    <mergeCell ref="O21:Q22"/>
    <mergeCell ref="S30:S31"/>
    <mergeCell ref="H30:H31"/>
    <mergeCell ref="N30:N31"/>
    <mergeCell ref="T21:T22"/>
    <mergeCell ref="K30:M31"/>
    <mergeCell ref="D17:E17"/>
    <mergeCell ref="N21:N22"/>
    <mergeCell ref="K21:M22"/>
    <mergeCell ref="I30:J31"/>
    <mergeCell ref="D30:G31"/>
    <mergeCell ref="D21:G22"/>
    <mergeCell ref="C2:H4"/>
    <mergeCell ref="H21:H22"/>
    <mergeCell ref="D15:E15"/>
    <mergeCell ref="I21:J22"/>
    <mergeCell ref="D16:E16"/>
    <mergeCell ref="F14:G14"/>
    <mergeCell ref="D14:E14"/>
  </mergeCells>
  <phoneticPr fontId="7" type="noConversion"/>
  <pageMargins left="0" right="0" top="1" bottom="1" header="0.5" footer="0.5"/>
  <pageSetup scale="35" fitToWidth="4" fitToHeight="0" orientation="landscape" r:id="rId1"/>
  <headerFooter alignWithMargins="0">
    <oddFooter>&amp;R&amp;A 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5"/>
  <sheetViews>
    <sheetView topLeftCell="A77" workbookViewId="0">
      <selection activeCell="C86" sqref="C86"/>
    </sheetView>
  </sheetViews>
  <sheetFormatPr defaultColWidth="9.1796875" defaultRowHeight="12.5"/>
  <cols>
    <col min="1" max="1" width="29.453125" style="28" customWidth="1"/>
    <col min="2" max="2" width="38.1796875" style="28" customWidth="1"/>
    <col min="3" max="3" width="35.6328125" style="28" customWidth="1"/>
    <col min="4" max="4" width="31.36328125" style="28" customWidth="1"/>
    <col min="5" max="5" width="24.1796875" style="28" customWidth="1"/>
    <col min="6" max="6" width="24.453125" style="28" customWidth="1"/>
    <col min="7" max="7" width="2.1796875" style="32" customWidth="1"/>
    <col min="8" max="8" width="21.6328125" style="28" customWidth="1"/>
    <col min="9" max="9" width="23.453125" style="28" customWidth="1"/>
    <col min="10" max="16384" width="9.1796875" style="28"/>
  </cols>
  <sheetData>
    <row r="1" spans="1:16" ht="20.25" customHeight="1">
      <c r="A1" s="148" t="s">
        <v>2932</v>
      </c>
    </row>
    <row r="2" spans="1:16" ht="13">
      <c r="A2" s="28" t="s">
        <v>2840</v>
      </c>
    </row>
    <row r="3" spans="1:16" ht="13">
      <c r="A3" s="28" t="s">
        <v>2841</v>
      </c>
      <c r="H3" s="154"/>
      <c r="P3" s="32"/>
    </row>
    <row r="4" spans="1:16" ht="13">
      <c r="A4" s="28" t="s">
        <v>2877</v>
      </c>
      <c r="P4" s="32"/>
    </row>
    <row r="5" spans="1:16" ht="13">
      <c r="A5" s="89" t="s">
        <v>3281</v>
      </c>
    </row>
    <row r="6" spans="1:16">
      <c r="A6" s="28" t="s">
        <v>2934</v>
      </c>
    </row>
    <row r="8" spans="1:16" ht="20.25" customHeight="1">
      <c r="A8" s="247"/>
      <c r="H8" s="279" t="s">
        <v>2842</v>
      </c>
    </row>
    <row r="9" spans="1:16" ht="65">
      <c r="A9" s="279" t="s">
        <v>2758</v>
      </c>
      <c r="B9" s="280" t="s">
        <v>2751</v>
      </c>
      <c r="C9" s="268" t="s">
        <v>2735</v>
      </c>
      <c r="D9" s="268" t="s">
        <v>2723</v>
      </c>
      <c r="E9" s="268" t="s">
        <v>2787</v>
      </c>
      <c r="F9" s="269" t="s">
        <v>2750</v>
      </c>
      <c r="G9" s="262"/>
      <c r="H9" s="311" t="s">
        <v>2843</v>
      </c>
      <c r="I9" s="313" t="s">
        <v>2875</v>
      </c>
    </row>
    <row r="10" spans="1:16" ht="45" customHeight="1">
      <c r="B10" s="280" t="s">
        <v>2725</v>
      </c>
      <c r="C10" s="271" t="s">
        <v>2744</v>
      </c>
      <c r="D10" s="251" t="s">
        <v>2745</v>
      </c>
      <c r="E10" s="251" t="s">
        <v>2844</v>
      </c>
      <c r="F10" s="255" t="s">
        <v>2844</v>
      </c>
      <c r="G10" s="33"/>
      <c r="H10" s="312" t="s">
        <v>2743</v>
      </c>
      <c r="I10" s="324" t="s">
        <v>2876</v>
      </c>
    </row>
    <row r="11" spans="1:16" ht="55.5" customHeight="1">
      <c r="B11" s="281" t="s">
        <v>2929</v>
      </c>
      <c r="C11" s="272" t="s">
        <v>3282</v>
      </c>
      <c r="D11" s="252" t="s">
        <v>2937</v>
      </c>
      <c r="E11" s="252" t="s">
        <v>2747</v>
      </c>
      <c r="F11" s="253" t="s">
        <v>2746</v>
      </c>
      <c r="G11" s="256"/>
      <c r="H11" s="312" t="s">
        <v>2748</v>
      </c>
      <c r="I11" s="314" t="s">
        <v>2785</v>
      </c>
    </row>
    <row r="12" spans="1:16" ht="30.75" customHeight="1">
      <c r="B12" s="282" t="s">
        <v>2726</v>
      </c>
      <c r="C12" s="256" t="s">
        <v>2759</v>
      </c>
      <c r="D12" s="256" t="s">
        <v>2772</v>
      </c>
      <c r="E12" s="256" t="s">
        <v>2771</v>
      </c>
      <c r="F12" s="257" t="s">
        <v>2771</v>
      </c>
      <c r="G12" s="256"/>
      <c r="H12" s="307" t="s">
        <v>2735</v>
      </c>
      <c r="I12" s="529" t="s">
        <v>2733</v>
      </c>
      <c r="J12" s="270"/>
      <c r="K12" s="270"/>
    </row>
    <row r="13" spans="1:16" ht="38">
      <c r="B13" s="282" t="s">
        <v>2749</v>
      </c>
      <c r="C13" s="256" t="s">
        <v>2769</v>
      </c>
      <c r="D13" s="256" t="s">
        <v>2770</v>
      </c>
      <c r="E13" s="256" t="s">
        <v>2773</v>
      </c>
      <c r="F13" s="257" t="s">
        <v>2891</v>
      </c>
      <c r="G13" s="256"/>
      <c r="H13" s="312" t="s">
        <v>2736</v>
      </c>
      <c r="I13" s="314" t="s">
        <v>2752</v>
      </c>
    </row>
    <row r="14" spans="1:16" ht="21.75" customHeight="1">
      <c r="B14" s="281" t="s">
        <v>2729</v>
      </c>
      <c r="C14" s="309" t="s">
        <v>2738</v>
      </c>
      <c r="D14" s="315" t="s">
        <v>2739</v>
      </c>
      <c r="E14" s="315" t="s">
        <v>2739</v>
      </c>
      <c r="F14" s="316" t="s">
        <v>2739</v>
      </c>
      <c r="G14" s="256"/>
      <c r="H14" s="308" t="s">
        <v>2737</v>
      </c>
      <c r="I14" s="530" t="s">
        <v>2737</v>
      </c>
    </row>
    <row r="15" spans="1:16">
      <c r="I15" s="267"/>
    </row>
    <row r="16" spans="1:16" ht="13">
      <c r="A16" s="531"/>
      <c r="B16" s="248"/>
      <c r="C16" s="237"/>
      <c r="D16" s="237"/>
      <c r="E16" s="237"/>
      <c r="F16" s="237"/>
      <c r="G16" s="247"/>
      <c r="H16" s="237"/>
      <c r="I16" s="237"/>
    </row>
    <row r="17" spans="1:13" ht="13">
      <c r="A17" s="168" t="s">
        <v>232</v>
      </c>
      <c r="B17" s="247" t="s">
        <v>220</v>
      </c>
      <c r="C17" s="258">
        <f>'Generation CO2e'!B39</f>
        <v>19574048110.053593</v>
      </c>
      <c r="D17" s="258">
        <f>'GIS CO2e'!B35</f>
        <v>54532464.714832984</v>
      </c>
      <c r="E17" s="258">
        <f>'GIS CO2e'!B291</f>
        <v>2518534915.0621834</v>
      </c>
      <c r="F17" s="258">
        <f>'GIS CO2e'!B175</f>
        <v>4687.9753812561557</v>
      </c>
      <c r="G17" s="264"/>
      <c r="H17" s="277">
        <f>C17/C54</f>
        <v>501.74831273306199</v>
      </c>
      <c r="I17" s="275">
        <f>IF(E17+F17&gt;C17,0,(C17-E17-F17)/(C54-E55-F56))</f>
        <v>469.45837087734259</v>
      </c>
    </row>
    <row r="18" spans="1:13" ht="13">
      <c r="A18" s="247"/>
      <c r="B18" s="168" t="s">
        <v>226</v>
      </c>
      <c r="C18" s="258">
        <f>'Generation CO2e'!B54</f>
        <v>2498769053.4494057</v>
      </c>
      <c r="D18" s="258">
        <f>'GIS CO2e'!B42</f>
        <v>4402852802.7170982</v>
      </c>
      <c r="E18" s="258">
        <f>'GIS CO2e'!B298</f>
        <v>2703012016.03019</v>
      </c>
      <c r="F18" s="258">
        <f>'GIS CO2e'!B182</f>
        <v>911716.13543739473</v>
      </c>
      <c r="G18" s="264"/>
      <c r="H18" s="277">
        <f>C18/C54</f>
        <v>64.051807241338025</v>
      </c>
      <c r="I18" s="275">
        <f>IF(E18+F18&gt;C18,0,(C18-E18-F18)/(C54-E55-F56))</f>
        <v>0</v>
      </c>
      <c r="M18" s="246"/>
    </row>
    <row r="19" spans="1:13" ht="13">
      <c r="A19" s="240"/>
      <c r="B19" s="531"/>
      <c r="C19" s="259"/>
      <c r="D19" s="259"/>
      <c r="E19" s="259"/>
      <c r="F19" s="259"/>
      <c r="G19" s="264"/>
      <c r="H19" s="278"/>
      <c r="I19" s="276"/>
      <c r="M19" s="270"/>
    </row>
    <row r="20" spans="1:13" ht="13">
      <c r="A20" s="247" t="s">
        <v>212</v>
      </c>
      <c r="B20" s="247" t="s">
        <v>220</v>
      </c>
      <c r="C20" s="258">
        <f>'Generation CO2e'!B9</f>
        <v>16382272331.679642</v>
      </c>
      <c r="D20" s="258">
        <f>'GIS CO2e'!B17</f>
        <v>-5303551.6914259782</v>
      </c>
      <c r="E20" s="258">
        <f>'GIS CO2e'!B315</f>
        <v>3196826432.8073006</v>
      </c>
      <c r="F20" s="258">
        <f>'GIS CO2e'!B193</f>
        <v>6762087.6975286985</v>
      </c>
      <c r="G20" s="264"/>
      <c r="H20" s="277">
        <f>C20/C59</f>
        <v>709.49835965516593</v>
      </c>
      <c r="I20" s="275">
        <f>IF(E20+F20&gt;C20,0,(C20-E20-F20)/(C59-E60-F61))</f>
        <v>648.88938716052769</v>
      </c>
      <c r="M20" s="209"/>
    </row>
    <row r="21" spans="1:13" ht="13">
      <c r="A21" s="168"/>
      <c r="B21" s="168" t="s">
        <v>226</v>
      </c>
      <c r="C21" s="258">
        <f>'Generation CO2e'!B24</f>
        <v>3457381521.3603506</v>
      </c>
      <c r="D21" s="258">
        <f>'GIS CO2e'!B24</f>
        <v>-184921216.95473528</v>
      </c>
      <c r="E21" s="258">
        <f>'GIS CO2e'!B322</f>
        <v>2649552728.2406707</v>
      </c>
      <c r="F21" s="258">
        <f>'GIS CO2e'!B200</f>
        <v>468041949.17336982</v>
      </c>
      <c r="G21" s="264"/>
      <c r="H21" s="277">
        <f>C21/C59</f>
        <v>149.73542549184009</v>
      </c>
      <c r="I21" s="275">
        <f>IF(E21+F21&gt;C21,0,(C21-E21-F21)/(C59-E60-F61))</f>
        <v>16.730356391627851</v>
      </c>
      <c r="M21" s="270"/>
    </row>
    <row r="22" spans="1:13" ht="13">
      <c r="A22" s="237"/>
      <c r="B22" s="531"/>
      <c r="C22" s="259"/>
      <c r="D22" s="259"/>
      <c r="E22" s="259"/>
      <c r="F22" s="259"/>
      <c r="G22" s="264"/>
      <c r="H22" s="278"/>
      <c r="I22" s="276"/>
      <c r="M22" s="209"/>
    </row>
    <row r="23" spans="1:13" ht="13">
      <c r="A23" s="168" t="s">
        <v>228</v>
      </c>
      <c r="B23" s="247" t="s">
        <v>220</v>
      </c>
      <c r="C23" s="258">
        <f>'Generation CO2e'!B69</f>
        <v>1557961630.7539411</v>
      </c>
      <c r="D23" s="258">
        <f>'GIS CO2e'!B53</f>
        <v>140910467.3239429</v>
      </c>
      <c r="E23" s="258">
        <f>'GIS CO2e'!B339</f>
        <v>263384981.58759278</v>
      </c>
      <c r="F23" s="258">
        <f>'GIS CO2e'!B211</f>
        <v>22744559.568297405</v>
      </c>
      <c r="G23" s="264"/>
      <c r="H23" s="277">
        <f>C23/C64</f>
        <v>190.4412133545016</v>
      </c>
      <c r="I23" s="275">
        <f>IF(E23+F23&gt;C23,0,(C23-E23-F23)/(C64-E65-F66))</f>
        <v>531.45868945482243</v>
      </c>
      <c r="M23" s="209"/>
    </row>
    <row r="24" spans="1:13" ht="13">
      <c r="A24" s="247"/>
      <c r="B24" s="168" t="s">
        <v>226</v>
      </c>
      <c r="C24" s="258">
        <f>'Generation CO2e'!B84</f>
        <v>2443471764.7696018</v>
      </c>
      <c r="D24" s="258">
        <f>'GIS CO2e'!B61</f>
        <v>-1359805266.4141083</v>
      </c>
      <c r="E24" s="258">
        <f>'GIS CO2e'!B347</f>
        <v>358111313.76955497</v>
      </c>
      <c r="F24" s="258">
        <f>'GIS CO2e'!B219</f>
        <v>1737486855.406198</v>
      </c>
      <c r="G24" s="264"/>
      <c r="H24" s="277">
        <f>C24/C64</f>
        <v>298.68368931203935</v>
      </c>
      <c r="I24" s="275">
        <f>IF(E24+F24&gt;C24,0,(C24-E24-F24)/(C64-E65-F66))</f>
        <v>145.36545092888264</v>
      </c>
    </row>
    <row r="25" spans="1:13" ht="13">
      <c r="A25" s="240"/>
      <c r="B25" s="531"/>
      <c r="C25" s="259"/>
      <c r="D25" s="259"/>
      <c r="E25" s="259"/>
      <c r="F25" s="259"/>
      <c r="G25" s="264"/>
      <c r="H25" s="278"/>
      <c r="I25" s="276"/>
    </row>
    <row r="26" spans="1:13" ht="13">
      <c r="A26" s="247" t="s">
        <v>229</v>
      </c>
      <c r="B26" s="247" t="s">
        <v>220</v>
      </c>
      <c r="C26" s="258">
        <f>'Generation CO2e'!B99</f>
        <v>4236292014.6949716</v>
      </c>
      <c r="D26" s="258">
        <f>'GIS CO2e'!B73</f>
        <v>-171473812.76914325</v>
      </c>
      <c r="E26" s="258">
        <f>'GIS CO2e'!B363</f>
        <v>17705323.26825894</v>
      </c>
      <c r="F26" s="258">
        <f>'GIS CO2e'!B229</f>
        <v>183437040.85383847</v>
      </c>
      <c r="G26" s="264"/>
      <c r="H26" s="277">
        <f>C26/C69</f>
        <v>230.54032136687186</v>
      </c>
      <c r="I26" s="275">
        <f>IF(E26+F26&gt;C26,0,(C26-E26-F26)/(C69-E70-F71))</f>
        <v>319.4560024800669</v>
      </c>
    </row>
    <row r="27" spans="1:13" ht="13">
      <c r="A27" s="168"/>
      <c r="B27" s="168" t="s">
        <v>226</v>
      </c>
      <c r="C27" s="258">
        <f>'Generation CO2e'!B114</f>
        <v>3674575457.2050929</v>
      </c>
      <c r="D27" s="258">
        <f>'GIS CO2e'!B80</f>
        <v>-837087536.59270024</v>
      </c>
      <c r="E27" s="258">
        <f>'GIS CO2e'!B370</f>
        <v>1363708940.6617115</v>
      </c>
      <c r="F27" s="258">
        <f>'GIS CO2e'!B236</f>
        <v>1863674849.9249279</v>
      </c>
      <c r="G27" s="264"/>
      <c r="H27" s="277">
        <f>C27/C69</f>
        <v>199.9715326168041</v>
      </c>
      <c r="I27" s="275">
        <f>IF(E27+F27&gt;C27,0,(C27-E27-F27)/(C69-E70-F71))</f>
        <v>35.403411157266078</v>
      </c>
    </row>
    <row r="28" spans="1:13" ht="13">
      <c r="A28" s="237"/>
      <c r="B28" s="531"/>
      <c r="C28" s="259"/>
      <c r="D28" s="259"/>
      <c r="E28" s="259"/>
      <c r="F28" s="259"/>
      <c r="G28" s="264"/>
      <c r="H28" s="278"/>
      <c r="I28" s="276"/>
    </row>
    <row r="29" spans="1:13" ht="13">
      <c r="A29" s="168" t="s">
        <v>231</v>
      </c>
      <c r="B29" s="247" t="s">
        <v>220</v>
      </c>
      <c r="C29" s="258">
        <f>'Generation CO2e'!B159</f>
        <v>6310811013.4122381</v>
      </c>
      <c r="D29" s="258">
        <f>'GIS CO2e'!B110</f>
        <v>5589935.2283563018</v>
      </c>
      <c r="E29" s="258">
        <f>'GIS CO2e'!B387</f>
        <v>1525525.7887530189</v>
      </c>
      <c r="F29" s="258">
        <f>'GIS CO2e'!B247</f>
        <v>0</v>
      </c>
      <c r="G29" s="264"/>
      <c r="H29" s="277">
        <f>C29/C74</f>
        <v>839.4572498453075</v>
      </c>
      <c r="I29" s="275">
        <f>IF(E29+F29&gt;C29,0,(C29-E29-F29)/(C74-E75-F76))</f>
        <v>895.98594940488306</v>
      </c>
    </row>
    <row r="30" spans="1:13" ht="13">
      <c r="A30" s="247"/>
      <c r="B30" s="168" t="s">
        <v>226</v>
      </c>
      <c r="C30" s="258">
        <f>'Generation CO2e'!B174</f>
        <v>233702149.35737294</v>
      </c>
      <c r="D30" s="258">
        <f>'GIS CO2e'!B117</f>
        <v>431966517.86674559</v>
      </c>
      <c r="E30" s="258">
        <f>'GIS CO2e'!B394</f>
        <v>296683826.9230212</v>
      </c>
      <c r="F30" s="258">
        <f>'GIS CO2e'!B254</f>
        <v>0</v>
      </c>
      <c r="G30" s="264"/>
      <c r="H30" s="277">
        <f>C30/C74</f>
        <v>31.086806935833437</v>
      </c>
      <c r="I30" s="275">
        <f>IF(E30+F30&gt;C30,0,(C30-E30-F30)/(C74-E75-F76))</f>
        <v>0</v>
      </c>
    </row>
    <row r="31" spans="1:13" ht="13">
      <c r="A31" s="240"/>
      <c r="B31" s="531"/>
      <c r="C31" s="259"/>
      <c r="D31" s="259"/>
      <c r="E31" s="259"/>
      <c r="F31" s="259"/>
      <c r="G31" s="264"/>
      <c r="H31" s="278"/>
      <c r="I31" s="276"/>
    </row>
    <row r="32" spans="1:13" ht="13">
      <c r="A32" s="247" t="s">
        <v>230</v>
      </c>
      <c r="B32" s="247" t="s">
        <v>220</v>
      </c>
      <c r="C32" s="258">
        <f>'Generation CO2e'!B189</f>
        <v>20072950.528978765</v>
      </c>
      <c r="D32" s="258">
        <f>'GIS CO2e'!B128</f>
        <v>34392378.091247052</v>
      </c>
      <c r="E32" s="258">
        <f>'GIS CO2e'!B411</f>
        <v>72619.668640271135</v>
      </c>
      <c r="F32" s="258">
        <f>'GIS CO2e'!B265</f>
        <v>15636142.72158158</v>
      </c>
      <c r="G32" s="264"/>
      <c r="H32" s="277">
        <f>C32/C79</f>
        <v>8.7792705524698693</v>
      </c>
      <c r="I32" s="275">
        <f>IF(E32+F32&gt;C32,0,(C32-E32-F32)/(C79-E80-F81))</f>
        <v>6.0651462837389296</v>
      </c>
    </row>
    <row r="33" spans="1:9" ht="13">
      <c r="A33" s="247"/>
      <c r="B33" s="168" t="s">
        <v>226</v>
      </c>
      <c r="C33" s="258">
        <f>'Generation CO2e'!B204</f>
        <v>1292896696.2081177</v>
      </c>
      <c r="D33" s="258">
        <f>'GIS CO2e'!B135</f>
        <v>-1154883042.3123338</v>
      </c>
      <c r="E33" s="258">
        <f>'GIS CO2e'!B418</f>
        <v>14123052.76050989</v>
      </c>
      <c r="F33" s="258">
        <f>'GIS CO2e'!B272</f>
        <v>1203237784.484237</v>
      </c>
      <c r="G33" s="264"/>
      <c r="H33" s="277">
        <f>C33/C79</f>
        <v>565.47192083290554</v>
      </c>
      <c r="I33" s="275">
        <f>IF(E33+F33&gt;C33,0,(C33-E33-F33)/(C79-E80-F81))</f>
        <v>104.97623377236225</v>
      </c>
    </row>
    <row r="34" spans="1:9" ht="13">
      <c r="A34" s="240"/>
      <c r="B34" s="531"/>
      <c r="C34" s="532"/>
      <c r="D34" s="532"/>
      <c r="E34" s="532"/>
      <c r="F34" s="532"/>
      <c r="G34" s="210"/>
      <c r="H34" s="533"/>
      <c r="I34" s="533"/>
    </row>
    <row r="35" spans="1:9" ht="13">
      <c r="A35" s="247" t="s">
        <v>233</v>
      </c>
      <c r="B35" s="247" t="s">
        <v>220</v>
      </c>
      <c r="C35" s="258">
        <f>'Generation CO2e'!B129</f>
        <v>50416677466.425514</v>
      </c>
      <c r="D35" s="258">
        <f>'GIS CO2e'!B91</f>
        <v>-46025204.25196147</v>
      </c>
      <c r="E35" s="258"/>
      <c r="F35" s="258"/>
      <c r="G35" s="264"/>
      <c r="H35" s="275">
        <f>C35/C84</f>
        <v>389.37021043773296</v>
      </c>
      <c r="I35" s="273"/>
    </row>
    <row r="36" spans="1:9" ht="13">
      <c r="A36" s="247"/>
      <c r="B36" s="168" t="s">
        <v>226</v>
      </c>
      <c r="C36" s="258">
        <f>'Generation CO2e'!B144</f>
        <v>4271960048.2684388</v>
      </c>
      <c r="D36" s="258">
        <f>'GIS CO2e'!B98</f>
        <v>-764314924.48919916</v>
      </c>
      <c r="E36" s="258"/>
      <c r="F36" s="258"/>
      <c r="G36" s="264"/>
      <c r="H36" s="275">
        <f>C36/C84</f>
        <v>32.992534743757702</v>
      </c>
      <c r="I36" s="273"/>
    </row>
    <row r="37" spans="1:9" ht="13">
      <c r="A37" s="531"/>
      <c r="B37" s="531"/>
      <c r="C37" s="259"/>
      <c r="D37" s="259"/>
      <c r="E37" s="259"/>
      <c r="F37" s="259"/>
      <c r="G37" s="264"/>
      <c r="H37" s="276"/>
      <c r="I37" s="274"/>
    </row>
    <row r="38" spans="1:9" ht="13">
      <c r="A38" s="247" t="s">
        <v>235</v>
      </c>
      <c r="B38" s="247" t="s">
        <v>220</v>
      </c>
      <c r="C38" s="258">
        <f>'Generation CO2e'!B229</f>
        <v>7275254646</v>
      </c>
      <c r="D38" s="258">
        <f>'GIS CO2e'!B160</f>
        <v>0</v>
      </c>
      <c r="E38" s="258"/>
      <c r="F38" s="258"/>
      <c r="G38" s="264"/>
      <c r="H38" s="275">
        <f>C38/C89</f>
        <v>567.56459232384645</v>
      </c>
      <c r="I38" s="273"/>
    </row>
    <row r="39" spans="1:9" ht="13">
      <c r="A39" s="247"/>
      <c r="B39" s="168" t="s">
        <v>226</v>
      </c>
      <c r="C39" s="258">
        <f>'Generation CO2e'!B230</f>
        <v>0</v>
      </c>
      <c r="D39" s="258">
        <f>'GIS CO2e'!B161</f>
        <v>0</v>
      </c>
      <c r="E39" s="258"/>
      <c r="F39" s="258"/>
      <c r="G39" s="264"/>
      <c r="H39" s="275">
        <f>C39/C89</f>
        <v>0</v>
      </c>
      <c r="I39" s="273"/>
    </row>
    <row r="40" spans="1:9" ht="13">
      <c r="A40" s="531"/>
      <c r="B40" s="531"/>
      <c r="C40" s="259"/>
      <c r="D40" s="259"/>
      <c r="E40" s="259"/>
      <c r="F40" s="259"/>
      <c r="G40" s="264"/>
      <c r="H40" s="276"/>
      <c r="I40" s="274"/>
    </row>
    <row r="41" spans="1:9" ht="13">
      <c r="A41" s="247" t="s">
        <v>234</v>
      </c>
      <c r="B41" s="247" t="s">
        <v>220</v>
      </c>
      <c r="C41" s="258">
        <f>'Generation CO2e'!B219</f>
        <v>511472447.84000003</v>
      </c>
      <c r="D41" s="258">
        <f>'GIS CO2e'!B148</f>
        <v>-11552555.823374577</v>
      </c>
      <c r="E41" s="258"/>
      <c r="F41" s="258"/>
      <c r="G41" s="264"/>
      <c r="H41" s="275">
        <f>C41/C94</f>
        <v>2.671504471746561</v>
      </c>
      <c r="I41" s="273"/>
    </row>
    <row r="42" spans="1:9" ht="13">
      <c r="A42" s="247"/>
      <c r="B42" s="168" t="s">
        <v>226</v>
      </c>
      <c r="C42" s="258">
        <f>'Generation CO2e'!B220</f>
        <v>2894795378.0755916</v>
      </c>
      <c r="D42" s="258">
        <f>'GIS CO2e'!B151</f>
        <v>-358619387.8126744</v>
      </c>
      <c r="E42" s="258"/>
      <c r="F42" s="258"/>
      <c r="G42" s="264"/>
      <c r="H42" s="275">
        <f>C42/C94</f>
        <v>15.119990978945983</v>
      </c>
      <c r="I42" s="273"/>
    </row>
    <row r="43" spans="1:9">
      <c r="A43" s="531"/>
      <c r="B43" s="531"/>
      <c r="C43" s="534"/>
      <c r="D43" s="534"/>
      <c r="E43" s="534"/>
      <c r="F43" s="534"/>
      <c r="G43" s="535"/>
      <c r="H43" s="534"/>
      <c r="I43" s="534"/>
    </row>
    <row r="44" spans="1:9">
      <c r="A44" s="32"/>
      <c r="B44" s="32"/>
      <c r="C44" s="535"/>
      <c r="D44" s="535"/>
      <c r="E44" s="535"/>
      <c r="F44" s="535"/>
      <c r="G44" s="535"/>
      <c r="H44" s="535"/>
      <c r="I44" s="535"/>
    </row>
    <row r="45" spans="1:9" ht="14.25" customHeight="1">
      <c r="A45" s="32"/>
      <c r="B45" s="32"/>
      <c r="C45" s="32"/>
      <c r="D45" s="32"/>
      <c r="E45" s="32"/>
      <c r="F45" s="32"/>
      <c r="H45" s="32"/>
      <c r="I45" s="32"/>
    </row>
    <row r="46" spans="1:9" ht="26">
      <c r="A46" s="318" t="s">
        <v>2742</v>
      </c>
      <c r="B46" s="283" t="s">
        <v>2790</v>
      </c>
      <c r="C46" s="254" t="s">
        <v>2724</v>
      </c>
      <c r="D46" s="254" t="s">
        <v>2781</v>
      </c>
      <c r="E46" s="254" t="s">
        <v>2787</v>
      </c>
      <c r="F46" s="743" t="s">
        <v>2750</v>
      </c>
      <c r="G46" s="262"/>
      <c r="H46" s="32"/>
    </row>
    <row r="47" spans="1:9" ht="27.75" customHeight="1">
      <c r="B47" s="280" t="s">
        <v>2725</v>
      </c>
      <c r="C47" s="271" t="s">
        <v>2780</v>
      </c>
      <c r="D47" s="251" t="s">
        <v>2779</v>
      </c>
      <c r="E47" s="251" t="s">
        <v>2844</v>
      </c>
      <c r="F47" s="255" t="s">
        <v>2844</v>
      </c>
      <c r="G47" s="37"/>
    </row>
    <row r="48" spans="1:9" ht="43.5" customHeight="1">
      <c r="B48" s="281" t="s">
        <v>2784</v>
      </c>
      <c r="C48" s="272" t="s">
        <v>2938</v>
      </c>
      <c r="D48" s="252" t="s">
        <v>2782</v>
      </c>
      <c r="E48" s="252" t="s">
        <v>2783</v>
      </c>
      <c r="F48" s="253" t="s">
        <v>2783</v>
      </c>
      <c r="G48" s="256"/>
    </row>
    <row r="49" spans="1:12" ht="18.75" customHeight="1">
      <c r="B49" s="282" t="s">
        <v>2726</v>
      </c>
      <c r="C49" s="251" t="s">
        <v>2768</v>
      </c>
      <c r="D49" s="251" t="s">
        <v>2789</v>
      </c>
      <c r="E49" s="251" t="s">
        <v>2788</v>
      </c>
      <c r="F49" s="255" t="s">
        <v>2789</v>
      </c>
      <c r="G49" s="256"/>
    </row>
    <row r="50" spans="1:12" ht="56.25" customHeight="1">
      <c r="B50" s="282" t="s">
        <v>2749</v>
      </c>
      <c r="C50" s="256" t="s">
        <v>2767</v>
      </c>
      <c r="D50" s="256" t="s">
        <v>2874</v>
      </c>
      <c r="E50" s="256" t="s">
        <v>2896</v>
      </c>
      <c r="F50" s="257" t="s">
        <v>2897</v>
      </c>
      <c r="G50" s="256"/>
      <c r="H50" s="256"/>
      <c r="I50" s="209"/>
      <c r="J50" s="33"/>
      <c r="K50" s="33"/>
      <c r="L50" s="33"/>
    </row>
    <row r="51" spans="1:12" ht="18.75" customHeight="1">
      <c r="B51" s="281" t="s">
        <v>2729</v>
      </c>
      <c r="C51" s="310" t="s">
        <v>2795</v>
      </c>
      <c r="D51" s="315" t="s">
        <v>2728</v>
      </c>
      <c r="E51" s="315" t="s">
        <v>2786</v>
      </c>
      <c r="F51" s="316" t="s">
        <v>2728</v>
      </c>
      <c r="G51" s="256"/>
      <c r="I51" s="33"/>
      <c r="J51" s="33"/>
      <c r="K51" s="33"/>
      <c r="L51" s="33"/>
    </row>
    <row r="52" spans="1:12">
      <c r="F52" s="261"/>
      <c r="G52" s="265"/>
      <c r="I52" s="33"/>
      <c r="J52" s="33"/>
      <c r="K52" s="33"/>
      <c r="L52" s="33"/>
    </row>
    <row r="53" spans="1:12" ht="13">
      <c r="A53" s="240"/>
      <c r="B53" s="531"/>
      <c r="C53" s="250"/>
      <c r="D53" s="250"/>
      <c r="E53" s="250"/>
      <c r="F53" s="250"/>
      <c r="G53" s="266"/>
      <c r="I53" s="61"/>
      <c r="J53" s="33"/>
      <c r="K53" s="33"/>
      <c r="L53" s="33"/>
    </row>
    <row r="54" spans="1:12" ht="13">
      <c r="A54" s="247" t="s">
        <v>232</v>
      </c>
      <c r="B54" s="247" t="s">
        <v>2727</v>
      </c>
      <c r="C54" s="260">
        <f>'Generation Load Imports'!F$7*1000</f>
        <v>39011686.961999401</v>
      </c>
      <c r="D54" s="323">
        <f>GIS!S$298</f>
        <v>810407</v>
      </c>
      <c r="E54" s="249"/>
      <c r="F54" s="249"/>
      <c r="G54" s="266"/>
      <c r="I54" s="61"/>
      <c r="J54" s="536"/>
      <c r="K54" s="33"/>
      <c r="L54" s="33"/>
    </row>
    <row r="55" spans="1:12" ht="13">
      <c r="A55" s="247"/>
      <c r="B55" s="168" t="s">
        <v>2730</v>
      </c>
      <c r="C55" s="249"/>
      <c r="D55" s="249">
        <f>GIS!S$296</f>
        <v>3239532</v>
      </c>
      <c r="E55" s="249">
        <f>GIS!Q88</f>
        <v>1778417</v>
      </c>
      <c r="F55" s="249"/>
      <c r="G55" s="266"/>
      <c r="I55" s="61"/>
      <c r="J55" s="537"/>
      <c r="K55" s="56"/>
      <c r="L55" s="33"/>
    </row>
    <row r="56" spans="1:12" ht="13">
      <c r="A56" s="247"/>
      <c r="B56" s="168" t="s">
        <v>2731</v>
      </c>
      <c r="C56" s="249"/>
      <c r="D56" s="249">
        <f>GIS!S$297</f>
        <v>927418</v>
      </c>
      <c r="E56" s="249"/>
      <c r="F56" s="249">
        <f>GIS!S$300</f>
        <v>903087</v>
      </c>
      <c r="G56" s="538"/>
      <c r="I56" s="33"/>
      <c r="J56" s="33"/>
      <c r="K56" s="33"/>
      <c r="L56" s="33"/>
    </row>
    <row r="57" spans="1:12" ht="13">
      <c r="A57" s="247"/>
      <c r="B57" s="168" t="s">
        <v>2732</v>
      </c>
      <c r="C57" s="249"/>
      <c r="D57" s="260">
        <f>D54+D55-D56</f>
        <v>3122521</v>
      </c>
      <c r="E57" s="249"/>
      <c r="F57" s="249"/>
      <c r="G57" s="266"/>
      <c r="I57" s="33"/>
      <c r="J57" s="33"/>
      <c r="K57" s="33"/>
      <c r="L57" s="33"/>
    </row>
    <row r="58" spans="1:12" ht="13">
      <c r="A58" s="531"/>
      <c r="B58" s="248"/>
      <c r="C58" s="237"/>
      <c r="D58" s="237"/>
      <c r="E58" s="237"/>
      <c r="F58" s="237"/>
      <c r="G58" s="247"/>
      <c r="I58" s="61"/>
      <c r="J58" s="33"/>
      <c r="K58" s="33"/>
      <c r="L58" s="33"/>
    </row>
    <row r="59" spans="1:12" ht="13">
      <c r="A59" s="247" t="s">
        <v>212</v>
      </c>
      <c r="B59" s="247" t="s">
        <v>2727</v>
      </c>
      <c r="C59" s="260">
        <f>'Generation Load Imports'!H$7*1000</f>
        <v>23089936.867002539</v>
      </c>
      <c r="D59" s="323">
        <f>GIS!V$298</f>
        <v>2615500</v>
      </c>
      <c r="E59" s="249"/>
      <c r="F59" s="249"/>
      <c r="G59" s="266"/>
      <c r="I59" s="61"/>
      <c r="J59" s="33"/>
      <c r="K59" s="33"/>
      <c r="L59" s="33"/>
    </row>
    <row r="60" spans="1:12" ht="13">
      <c r="A60" s="247"/>
      <c r="B60" s="168" t="s">
        <v>2730</v>
      </c>
      <c r="C60" s="249"/>
      <c r="D60" s="249">
        <f>GIS!V$296</f>
        <v>7839679</v>
      </c>
      <c r="E60" s="249">
        <f>GIS!T113</f>
        <v>2206906</v>
      </c>
      <c r="F60" s="249"/>
      <c r="G60" s="266"/>
      <c r="I60" s="61"/>
      <c r="J60" s="536"/>
      <c r="K60" s="33"/>
      <c r="L60" s="33"/>
    </row>
    <row r="61" spans="1:12" ht="13">
      <c r="A61" s="247"/>
      <c r="B61" s="168" t="s">
        <v>2731</v>
      </c>
      <c r="C61" s="249"/>
      <c r="D61" s="249">
        <f>GIS!V$297</f>
        <v>614552</v>
      </c>
      <c r="E61" s="249"/>
      <c r="F61" s="249">
        <f>GIS!V$300</f>
        <v>573431</v>
      </c>
      <c r="G61" s="538"/>
      <c r="I61" s="537"/>
      <c r="J61" s="537"/>
      <c r="K61" s="56"/>
      <c r="L61" s="33"/>
    </row>
    <row r="62" spans="1:12" ht="13">
      <c r="A62" s="247"/>
      <c r="B62" s="168" t="s">
        <v>2732</v>
      </c>
      <c r="C62" s="249"/>
      <c r="D62" s="260">
        <f>D59+D60-D61</f>
        <v>9840627</v>
      </c>
      <c r="E62" s="249"/>
      <c r="F62" s="249"/>
      <c r="G62" s="266"/>
      <c r="I62" s="33"/>
      <c r="J62" s="33"/>
      <c r="K62" s="33"/>
      <c r="L62" s="33"/>
    </row>
    <row r="63" spans="1:12" ht="13">
      <c r="A63" s="237"/>
      <c r="B63" s="531"/>
      <c r="C63" s="250"/>
      <c r="D63" s="250"/>
      <c r="E63" s="250"/>
      <c r="F63" s="250"/>
      <c r="G63" s="266"/>
      <c r="I63" s="61"/>
      <c r="J63" s="33"/>
      <c r="K63" s="33"/>
      <c r="L63" s="33"/>
    </row>
    <row r="64" spans="1:12" ht="13">
      <c r="A64" s="168" t="s">
        <v>228</v>
      </c>
      <c r="B64" s="247" t="s">
        <v>2727</v>
      </c>
      <c r="C64" s="260">
        <f>'Generation Load Imports'!C$7*1000</f>
        <v>8180800.8010001183</v>
      </c>
      <c r="D64" s="323">
        <f>GIS!Y$298</f>
        <v>1157913</v>
      </c>
      <c r="E64" s="249"/>
      <c r="F64" s="249"/>
      <c r="G64" s="266"/>
      <c r="I64" s="61"/>
      <c r="J64" s="33"/>
      <c r="K64" s="33"/>
      <c r="L64" s="33"/>
    </row>
    <row r="65" spans="1:12" ht="13">
      <c r="A65" s="247"/>
      <c r="B65" s="168" t="s">
        <v>2730</v>
      </c>
      <c r="C65" s="249"/>
      <c r="D65" s="249">
        <f>GIS!Y$296</f>
        <v>1626578</v>
      </c>
      <c r="E65" s="249">
        <f>GIS!Y138</f>
        <v>2091883</v>
      </c>
      <c r="F65" s="249"/>
      <c r="G65" s="266"/>
      <c r="I65" s="61"/>
      <c r="J65" s="33"/>
      <c r="K65" s="33"/>
      <c r="L65" s="33"/>
    </row>
    <row r="66" spans="1:12" ht="13">
      <c r="A66" s="247"/>
      <c r="B66" s="168" t="s">
        <v>2731</v>
      </c>
      <c r="C66" s="249"/>
      <c r="D66" s="249">
        <f>GIS!Y$297</f>
        <v>4003426</v>
      </c>
      <c r="E66" s="249"/>
      <c r="F66" s="249">
        <f>GIS!Y$300</f>
        <v>3695821</v>
      </c>
      <c r="G66" s="266"/>
      <c r="I66" s="536"/>
      <c r="J66" s="536"/>
      <c r="K66" s="33"/>
      <c r="L66" s="33"/>
    </row>
    <row r="67" spans="1:12" ht="13">
      <c r="A67" s="247"/>
      <c r="B67" s="168" t="s">
        <v>2732</v>
      </c>
      <c r="C67" s="249"/>
      <c r="D67" s="260">
        <f>D64+D65-D66</f>
        <v>-1218935</v>
      </c>
      <c r="E67" s="249"/>
      <c r="F67" s="249"/>
      <c r="G67" s="266"/>
      <c r="I67" s="537"/>
      <c r="J67" s="537"/>
      <c r="K67" s="56"/>
      <c r="L67" s="33"/>
    </row>
    <row r="68" spans="1:12" ht="13">
      <c r="A68" s="240"/>
      <c r="B68" s="531"/>
      <c r="C68" s="250"/>
      <c r="D68" s="250"/>
      <c r="E68" s="250"/>
      <c r="F68" s="250"/>
      <c r="G68" s="266"/>
      <c r="I68" s="61"/>
      <c r="J68" s="539"/>
      <c r="K68" s="147"/>
      <c r="L68" s="33"/>
    </row>
    <row r="69" spans="1:12" ht="13">
      <c r="A69" s="247" t="s">
        <v>229</v>
      </c>
      <c r="B69" s="247" t="s">
        <v>2727</v>
      </c>
      <c r="C69" s="260">
        <f>'Generation Load Imports'!D$7*1000</f>
        <v>18375492.796999793</v>
      </c>
      <c r="D69" s="323">
        <f>GIS!AB$298</f>
        <v>129688</v>
      </c>
      <c r="E69" s="249"/>
      <c r="F69" s="249"/>
      <c r="G69" s="266"/>
      <c r="I69" s="61"/>
      <c r="J69" s="33"/>
      <c r="K69" s="33"/>
      <c r="L69" s="33"/>
    </row>
    <row r="70" spans="1:12" ht="13">
      <c r="A70" s="247"/>
      <c r="B70" s="168" t="s">
        <v>2730</v>
      </c>
      <c r="C70" s="249"/>
      <c r="D70" s="249">
        <f>GIS!AB$296</f>
        <v>1086721</v>
      </c>
      <c r="E70" s="249">
        <f>GIS!Z163</f>
        <v>766239</v>
      </c>
      <c r="F70" s="249"/>
      <c r="G70" s="266"/>
      <c r="H70" s="540"/>
      <c r="I70" s="61"/>
      <c r="J70" s="33"/>
      <c r="K70" s="33"/>
      <c r="L70" s="33"/>
    </row>
    <row r="71" spans="1:12" ht="13">
      <c r="A71" s="247"/>
      <c r="B71" s="168" t="s">
        <v>2731</v>
      </c>
      <c r="C71" s="249"/>
      <c r="D71" s="249">
        <f>GIS!AB$297</f>
        <v>5059709</v>
      </c>
      <c r="E71" s="249"/>
      <c r="F71" s="249">
        <f>GIS!AB$300</f>
        <v>4977938</v>
      </c>
      <c r="G71" s="266"/>
      <c r="H71" s="540"/>
      <c r="I71" s="33"/>
      <c r="J71" s="33"/>
      <c r="K71" s="33"/>
      <c r="L71" s="33"/>
    </row>
    <row r="72" spans="1:12" ht="13">
      <c r="A72" s="168"/>
      <c r="B72" s="168" t="s">
        <v>2732</v>
      </c>
      <c r="C72" s="249"/>
      <c r="D72" s="260">
        <f>D69+D70-D71</f>
        <v>-3843300</v>
      </c>
      <c r="E72" s="249"/>
      <c r="F72" s="249"/>
      <c r="G72" s="266"/>
      <c r="I72" s="33"/>
      <c r="J72" s="33"/>
      <c r="K72" s="33"/>
      <c r="L72" s="33"/>
    </row>
    <row r="73" spans="1:12" ht="13">
      <c r="A73" s="237"/>
      <c r="B73" s="531"/>
      <c r="C73" s="250"/>
      <c r="D73" s="250"/>
      <c r="E73" s="250"/>
      <c r="F73" s="250"/>
      <c r="G73" s="266"/>
      <c r="I73" s="61"/>
    </row>
    <row r="74" spans="1:12" ht="13">
      <c r="A74" s="168" t="s">
        <v>231</v>
      </c>
      <c r="B74" s="247" t="s">
        <v>2727</v>
      </c>
      <c r="C74" s="260">
        <f>'Generation Load Imports'!G$7*1000</f>
        <v>7517727.6920000082</v>
      </c>
      <c r="D74" s="323">
        <f>GIS!AE$298</f>
        <v>144352</v>
      </c>
      <c r="E74" s="249"/>
      <c r="F74" s="249"/>
      <c r="G74" s="266"/>
      <c r="I74" s="61"/>
    </row>
    <row r="75" spans="1:12" ht="13">
      <c r="A75" s="168"/>
      <c r="B75" s="168" t="s">
        <v>2730</v>
      </c>
      <c r="C75" s="249"/>
      <c r="D75" s="249">
        <f>GIS!AE$296</f>
        <v>731278</v>
      </c>
      <c r="E75" s="249">
        <f>GIS!AC188</f>
        <v>442008</v>
      </c>
      <c r="F75" s="249"/>
      <c r="G75" s="266"/>
      <c r="I75" s="61"/>
    </row>
    <row r="76" spans="1:12" ht="13">
      <c r="A76" s="168"/>
      <c r="B76" s="168" t="s">
        <v>2731</v>
      </c>
      <c r="C76" s="249"/>
      <c r="D76" s="249">
        <f>GIS!AE$297</f>
        <v>102027</v>
      </c>
      <c r="E76" s="249"/>
      <c r="F76" s="249">
        <f>GIS!AE$300</f>
        <v>33996</v>
      </c>
      <c r="G76" s="266"/>
      <c r="I76" s="32"/>
    </row>
    <row r="77" spans="1:12" ht="13">
      <c r="A77" s="247"/>
      <c r="B77" s="168" t="s">
        <v>2732</v>
      </c>
      <c r="C77" s="249"/>
      <c r="D77" s="260">
        <f>D74+D75-D76</f>
        <v>773603</v>
      </c>
      <c r="E77" s="249"/>
      <c r="F77" s="249"/>
      <c r="G77" s="266"/>
      <c r="I77" s="32"/>
    </row>
    <row r="78" spans="1:12" ht="13">
      <c r="A78" s="240"/>
      <c r="B78" s="531"/>
      <c r="C78" s="250"/>
      <c r="D78" s="250"/>
      <c r="E78" s="250"/>
      <c r="F78" s="250"/>
      <c r="G78" s="266"/>
      <c r="I78" s="61"/>
    </row>
    <row r="79" spans="1:12" ht="13">
      <c r="A79" s="247" t="s">
        <v>230</v>
      </c>
      <c r="B79" s="247" t="s">
        <v>2727</v>
      </c>
      <c r="C79" s="733">
        <f>'Generation Load Imports'!B24</f>
        <v>2286403</v>
      </c>
      <c r="D79" s="323">
        <f>GIS!AH$298</f>
        <v>412427</v>
      </c>
      <c r="E79" s="249"/>
      <c r="F79" s="249"/>
      <c r="G79" s="266"/>
      <c r="I79" s="61"/>
    </row>
    <row r="80" spans="1:12" ht="13">
      <c r="A80" s="247"/>
      <c r="B80" s="168" t="s">
        <v>2730</v>
      </c>
      <c r="C80" s="249"/>
      <c r="D80" s="249">
        <f>GIS!AH$296</f>
        <v>5184844</v>
      </c>
      <c r="E80" s="249">
        <f>GIS!AF213</f>
        <v>541490</v>
      </c>
      <c r="F80" s="249"/>
      <c r="G80" s="266"/>
      <c r="I80" s="61"/>
    </row>
    <row r="81" spans="1:9" ht="13">
      <c r="A81" s="247"/>
      <c r="B81" s="168" t="s">
        <v>2731</v>
      </c>
      <c r="C81" s="249"/>
      <c r="D81" s="249">
        <f>GIS!AH$297</f>
        <v>1308133</v>
      </c>
      <c r="E81" s="249"/>
      <c r="F81" s="249">
        <f>GIS!AH$300</f>
        <v>1025361</v>
      </c>
      <c r="G81" s="266"/>
      <c r="I81" s="32"/>
    </row>
    <row r="82" spans="1:9" ht="13">
      <c r="A82" s="247"/>
      <c r="B82" s="168" t="s">
        <v>2732</v>
      </c>
      <c r="C82" s="249"/>
      <c r="D82" s="260">
        <f>D79+D80-D81</f>
        <v>4289138</v>
      </c>
      <c r="E82" s="249"/>
      <c r="F82" s="249"/>
      <c r="G82" s="266"/>
      <c r="I82" s="32"/>
    </row>
    <row r="83" spans="1:9" ht="13">
      <c r="A83" s="240"/>
      <c r="B83" s="531"/>
      <c r="C83" s="531"/>
      <c r="D83" s="531"/>
      <c r="E83" s="531"/>
      <c r="F83" s="531"/>
      <c r="G83" s="33"/>
    </row>
    <row r="84" spans="1:9" ht="13">
      <c r="A84" s="247" t="s">
        <v>233</v>
      </c>
      <c r="B84" s="247" t="s">
        <v>2727</v>
      </c>
      <c r="C84" s="260">
        <f>'Generation Load Imports'!B21</f>
        <v>129482626.34099999</v>
      </c>
      <c r="D84" s="317"/>
      <c r="E84" s="249"/>
      <c r="F84" s="249"/>
      <c r="G84" s="266"/>
    </row>
    <row r="85" spans="1:9" ht="13">
      <c r="A85" s="247"/>
      <c r="B85" s="247" t="s">
        <v>2928</v>
      </c>
      <c r="C85" s="260">
        <f>'Generation Load Imports'!D11*1000</f>
        <v>5739000</v>
      </c>
      <c r="D85" s="317"/>
      <c r="E85" s="249"/>
      <c r="F85" s="249"/>
      <c r="G85" s="266"/>
    </row>
    <row r="86" spans="1:9" ht="13">
      <c r="A86" s="247"/>
      <c r="B86" s="168" t="s">
        <v>2731</v>
      </c>
      <c r="C86" s="249"/>
      <c r="D86" s="317">
        <f>GIS!AK$297</f>
        <v>3454010</v>
      </c>
      <c r="E86" s="249"/>
      <c r="F86" s="249"/>
      <c r="G86" s="266"/>
    </row>
    <row r="87" spans="1:9" ht="13">
      <c r="A87" s="247"/>
      <c r="B87" s="168" t="s">
        <v>2732</v>
      </c>
      <c r="C87" s="249"/>
      <c r="D87" s="263">
        <f>D84+D85-D86</f>
        <v>-3454010</v>
      </c>
      <c r="E87" s="249"/>
      <c r="F87" s="249"/>
      <c r="G87" s="266"/>
    </row>
    <row r="88" spans="1:9" ht="13">
      <c r="A88" s="240"/>
      <c r="B88" s="531"/>
      <c r="C88" s="531"/>
      <c r="D88" s="531"/>
      <c r="E88" s="531"/>
      <c r="F88" s="531"/>
      <c r="G88" s="33"/>
    </row>
    <row r="89" spans="1:9" ht="14.25" customHeight="1">
      <c r="A89" s="247" t="s">
        <v>235</v>
      </c>
      <c r="B89" s="247" t="s">
        <v>2727</v>
      </c>
      <c r="C89" s="260">
        <f>'Generation Load Imports'!B30</f>
        <v>12818373</v>
      </c>
      <c r="D89" s="317"/>
      <c r="E89" s="249"/>
      <c r="F89" s="249"/>
      <c r="G89" s="266"/>
    </row>
    <row r="90" spans="1:9" ht="13">
      <c r="A90" s="247"/>
      <c r="B90" s="247" t="s">
        <v>2928</v>
      </c>
      <c r="C90" s="260">
        <f>'Generation Load Imports'!C11*1000</f>
        <v>3233000</v>
      </c>
      <c r="D90" s="317"/>
      <c r="E90" s="249"/>
      <c r="F90" s="249"/>
      <c r="G90" s="266"/>
    </row>
    <row r="91" spans="1:9" ht="13">
      <c r="A91" s="247"/>
      <c r="B91" s="168" t="s">
        <v>2777</v>
      </c>
      <c r="C91" s="249"/>
      <c r="D91" s="317">
        <f>GIS!AN$297</f>
        <v>277647</v>
      </c>
      <c r="E91" s="249"/>
      <c r="F91" s="249"/>
      <c r="G91" s="266"/>
    </row>
    <row r="92" spans="1:9" ht="13">
      <c r="A92" s="247"/>
      <c r="B92" s="168" t="s">
        <v>2732</v>
      </c>
      <c r="C92" s="249"/>
      <c r="D92" s="263">
        <f>D89+D90-D91</f>
        <v>-277647</v>
      </c>
      <c r="E92" s="249"/>
      <c r="F92" s="249"/>
      <c r="G92" s="266"/>
    </row>
    <row r="93" spans="1:9" ht="13">
      <c r="A93" s="240"/>
      <c r="B93" s="531"/>
      <c r="C93" s="531"/>
      <c r="D93" s="531"/>
      <c r="E93" s="531"/>
      <c r="F93" s="531"/>
      <c r="G93" s="33"/>
    </row>
    <row r="94" spans="1:9" ht="13">
      <c r="A94" s="247" t="s">
        <v>234</v>
      </c>
      <c r="B94" s="247" t="s">
        <v>2727</v>
      </c>
      <c r="C94" s="260">
        <f>'Generation Load Imports'!B33</f>
        <v>191454835</v>
      </c>
      <c r="D94" s="317"/>
      <c r="E94" s="249"/>
      <c r="F94" s="249"/>
      <c r="G94" s="266"/>
    </row>
    <row r="95" spans="1:9" ht="13">
      <c r="A95" s="247"/>
      <c r="B95" s="247" t="s">
        <v>2928</v>
      </c>
      <c r="C95" s="260">
        <f>'Generation Load Imports'!E11*1000</f>
        <v>14091000</v>
      </c>
      <c r="D95" s="317"/>
      <c r="E95" s="249"/>
      <c r="F95" s="249"/>
      <c r="G95" s="266"/>
    </row>
    <row r="96" spans="1:9" ht="13">
      <c r="A96" s="247"/>
      <c r="B96" s="168" t="s">
        <v>2777</v>
      </c>
      <c r="C96" s="249"/>
      <c r="D96" s="317">
        <f>GIS!AQ$297</f>
        <v>3961710</v>
      </c>
      <c r="E96" s="249"/>
      <c r="F96" s="249"/>
      <c r="G96" s="266"/>
    </row>
    <row r="97" spans="1:7" ht="13">
      <c r="A97" s="247"/>
      <c r="B97" s="168" t="s">
        <v>2732</v>
      </c>
      <c r="C97" s="249"/>
      <c r="D97" s="263">
        <f>D94+D95-D96</f>
        <v>-3961710</v>
      </c>
      <c r="E97" s="249"/>
      <c r="F97" s="249"/>
      <c r="G97" s="266"/>
    </row>
    <row r="98" spans="1:7" ht="13">
      <c r="A98" s="240"/>
      <c r="B98" s="531"/>
      <c r="C98" s="531"/>
      <c r="D98" s="531"/>
      <c r="E98" s="531"/>
      <c r="F98" s="531"/>
    </row>
    <row r="99" spans="1:7" ht="13">
      <c r="A99" s="541" t="s">
        <v>365</v>
      </c>
      <c r="B99" s="247" t="s">
        <v>2727</v>
      </c>
      <c r="C99" s="260">
        <f>C54+C59+C64+C69+C74+C79</f>
        <v>98462048.11900185</v>
      </c>
      <c r="D99" s="323">
        <f>D54+D59+D64+D69+D74+D79</f>
        <v>5270287</v>
      </c>
      <c r="E99" s="249"/>
      <c r="F99" s="249"/>
    </row>
    <row r="100" spans="1:7" ht="13">
      <c r="B100" s="168" t="s">
        <v>2740</v>
      </c>
      <c r="C100" s="260"/>
      <c r="D100" s="317">
        <f>D55+D60+D65+D70+D75+D80</f>
        <v>19708632</v>
      </c>
      <c r="E100" s="249"/>
      <c r="F100" s="249"/>
    </row>
    <row r="101" spans="1:7" ht="13">
      <c r="B101" s="168" t="s">
        <v>2741</v>
      </c>
      <c r="C101" s="249"/>
      <c r="D101" s="317">
        <f>D56+D61+D66+D71+D76+D81</f>
        <v>12015265</v>
      </c>
      <c r="E101" s="249"/>
      <c r="F101" s="249"/>
    </row>
    <row r="102" spans="1:7" ht="13">
      <c r="B102" s="168" t="s">
        <v>2732</v>
      </c>
      <c r="C102" s="249"/>
      <c r="D102" s="263">
        <f>D99+D100-D101</f>
        <v>12963654</v>
      </c>
      <c r="E102" s="542"/>
      <c r="F102" s="542"/>
    </row>
    <row r="103" spans="1:7">
      <c r="A103" s="531"/>
      <c r="B103" s="531"/>
      <c r="C103" s="531"/>
      <c r="D103" s="531"/>
      <c r="E103" s="531"/>
      <c r="F103" s="531"/>
    </row>
    <row r="104" spans="1:7" ht="13">
      <c r="A104" s="541" t="s">
        <v>2688</v>
      </c>
      <c r="B104" s="247" t="s">
        <v>2727</v>
      </c>
      <c r="C104" s="260">
        <f>C84+C89+C94</f>
        <v>333755834.34099996</v>
      </c>
      <c r="D104" s="317"/>
      <c r="E104" s="249"/>
      <c r="F104" s="249"/>
    </row>
    <row r="105" spans="1:7" ht="13">
      <c r="B105" s="247" t="s">
        <v>2928</v>
      </c>
      <c r="C105" s="260">
        <f>C85+C90+C95</f>
        <v>23063000</v>
      </c>
      <c r="D105" s="317"/>
      <c r="E105" s="249"/>
      <c r="F105" s="249"/>
    </row>
    <row r="106" spans="1:7" ht="13">
      <c r="B106" s="168" t="s">
        <v>2778</v>
      </c>
      <c r="C106" s="249"/>
      <c r="D106" s="317">
        <f>D86+D91+D96</f>
        <v>7693367</v>
      </c>
      <c r="E106" s="249"/>
      <c r="F106" s="249"/>
    </row>
    <row r="107" spans="1:7" ht="13">
      <c r="B107" s="168" t="s">
        <v>2732</v>
      </c>
      <c r="C107" s="249"/>
      <c r="D107" s="263">
        <f>D104+D105-D106</f>
        <v>-7693367</v>
      </c>
      <c r="E107" s="249"/>
      <c r="F107" s="249"/>
    </row>
    <row r="108" spans="1:7">
      <c r="A108" s="531"/>
      <c r="B108" s="531"/>
      <c r="C108" s="531"/>
      <c r="D108" s="531"/>
      <c r="E108" s="531"/>
      <c r="F108" s="531"/>
    </row>
    <row r="109" spans="1:7" ht="13">
      <c r="A109" s="541" t="s">
        <v>2689</v>
      </c>
      <c r="B109" s="247" t="s">
        <v>2727</v>
      </c>
      <c r="C109" s="260">
        <f>C99+C104</f>
        <v>432217882.46000183</v>
      </c>
      <c r="D109" s="323">
        <f>D99+D104</f>
        <v>5270287</v>
      </c>
      <c r="E109" s="249"/>
      <c r="F109" s="249"/>
    </row>
    <row r="110" spans="1:7" ht="13">
      <c r="B110" s="247" t="s">
        <v>2734</v>
      </c>
      <c r="C110" s="260">
        <f>C100+C105</f>
        <v>23063000</v>
      </c>
      <c r="D110" s="317">
        <f>D100+D105</f>
        <v>19708632</v>
      </c>
      <c r="E110" s="249"/>
      <c r="F110" s="249"/>
    </row>
    <row r="111" spans="1:7" ht="13">
      <c r="B111" s="168" t="s">
        <v>2778</v>
      </c>
      <c r="C111" s="249"/>
      <c r="D111" s="317">
        <f>D101+D106</f>
        <v>19708632</v>
      </c>
      <c r="E111" s="542"/>
      <c r="F111" s="542"/>
    </row>
    <row r="112" spans="1:7" ht="13">
      <c r="B112" s="168" t="s">
        <v>2732</v>
      </c>
      <c r="C112" s="249"/>
      <c r="D112" s="263">
        <f>D109+D110-D111</f>
        <v>5270287</v>
      </c>
      <c r="E112" s="249"/>
      <c r="F112" s="249"/>
    </row>
    <row r="113" spans="1:6">
      <c r="A113" s="531"/>
      <c r="B113" s="531"/>
      <c r="C113" s="531"/>
      <c r="D113" s="531"/>
      <c r="E113" s="531"/>
      <c r="F113" s="531"/>
    </row>
    <row r="115" spans="1:6">
      <c r="C115" s="540"/>
      <c r="D115" s="540"/>
    </row>
  </sheetData>
  <pageMargins left="0.7" right="0.7" top="0.75" bottom="0.75" header="0.3" footer="0.3"/>
  <pageSetup scale="3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R34"/>
  <sheetViews>
    <sheetView topLeftCell="A9" zoomScaleNormal="100" workbookViewId="0">
      <selection activeCell="D11" sqref="D11"/>
    </sheetView>
  </sheetViews>
  <sheetFormatPr defaultColWidth="9.1796875" defaultRowHeight="14"/>
  <cols>
    <col min="1" max="1" width="15.1796875" style="476" customWidth="1"/>
    <col min="2" max="2" width="13.81640625" style="476" customWidth="1"/>
    <col min="3" max="3" width="12.1796875" style="476" customWidth="1"/>
    <col min="4" max="4" width="11.453125" style="476" customWidth="1"/>
    <col min="5" max="5" width="10.453125" style="476" bestFit="1" customWidth="1"/>
    <col min="6" max="6" width="15.6328125" style="476" customWidth="1"/>
    <col min="7" max="7" width="10.453125" style="476" bestFit="1" customWidth="1"/>
    <col min="8" max="8" width="9.90625" style="476" bestFit="1" customWidth="1"/>
    <col min="9" max="9" width="9" style="476" customWidth="1"/>
    <col min="10" max="10" width="10.453125" style="476" customWidth="1"/>
    <col min="11" max="11" width="11.6328125" style="476" customWidth="1"/>
    <col min="12" max="12" width="17.6328125" style="476" customWidth="1"/>
    <col min="13" max="13" width="12.81640625" style="476" bestFit="1" customWidth="1"/>
    <col min="14" max="16384" width="9.1796875" style="476"/>
  </cols>
  <sheetData>
    <row r="1" spans="1:18" ht="15.5">
      <c r="A1" s="320" t="s">
        <v>2765</v>
      </c>
    </row>
    <row r="2" spans="1:18" ht="14.5" thickBot="1"/>
    <row r="3" spans="1:18">
      <c r="A3" s="479" t="s">
        <v>2774</v>
      </c>
      <c r="B3" s="480"/>
      <c r="C3" s="480"/>
      <c r="D3" s="480"/>
      <c r="E3" s="481"/>
      <c r="F3" s="480"/>
      <c r="G3" s="480"/>
      <c r="H3" s="480"/>
      <c r="I3" s="480"/>
      <c r="J3" s="480"/>
      <c r="K3" s="482"/>
      <c r="L3" s="482"/>
      <c r="M3" s="482"/>
      <c r="N3" s="483"/>
    </row>
    <row r="4" spans="1:18">
      <c r="A4" s="484"/>
      <c r="B4" s="485"/>
      <c r="C4" s="486"/>
      <c r="D4" s="487"/>
      <c r="E4" s="477"/>
      <c r="F4" s="487"/>
      <c r="G4" s="487"/>
      <c r="H4" s="488"/>
      <c r="I4" s="488"/>
      <c r="J4" s="488"/>
      <c r="K4" s="489"/>
      <c r="L4" s="487"/>
      <c r="M4" s="490"/>
      <c r="N4" s="491"/>
      <c r="O4" s="478"/>
      <c r="P4" s="478"/>
      <c r="Q4" s="478"/>
      <c r="R4" s="478"/>
    </row>
    <row r="5" spans="1:18" ht="14.5" thickBot="1">
      <c r="A5" s="492"/>
      <c r="B5" s="861" t="s">
        <v>191</v>
      </c>
      <c r="C5" s="861"/>
      <c r="D5" s="861"/>
      <c r="E5" s="861"/>
      <c r="F5" s="861"/>
      <c r="G5" s="861"/>
      <c r="H5" s="861"/>
      <c r="I5" s="493"/>
      <c r="J5" s="493"/>
      <c r="K5" s="494"/>
      <c r="L5" s="495"/>
      <c r="M5" s="495"/>
      <c r="N5" s="491"/>
    </row>
    <row r="6" spans="1:18">
      <c r="A6" s="496"/>
      <c r="B6" s="497" t="s">
        <v>192</v>
      </c>
      <c r="C6" s="497" t="s">
        <v>92</v>
      </c>
      <c r="D6" s="497" t="s">
        <v>98</v>
      </c>
      <c r="E6" s="497" t="s">
        <v>91</v>
      </c>
      <c r="F6" s="497" t="s">
        <v>43</v>
      </c>
      <c r="G6" s="497" t="s">
        <v>136</v>
      </c>
      <c r="H6" s="497" t="s">
        <v>83</v>
      </c>
      <c r="I6" s="497"/>
      <c r="J6" s="494" t="s">
        <v>2945</v>
      </c>
      <c r="K6" s="495"/>
      <c r="L6" s="495"/>
      <c r="M6" s="495"/>
      <c r="N6" s="491"/>
    </row>
    <row r="7" spans="1:18">
      <c r="A7" s="498">
        <v>2019</v>
      </c>
      <c r="B7" s="499">
        <v>97559</v>
      </c>
      <c r="C7" s="499">
        <v>8180.8008010001186</v>
      </c>
      <c r="D7" s="499">
        <v>18375.492796999795</v>
      </c>
      <c r="E7" s="499">
        <v>1383.815906000005</v>
      </c>
      <c r="F7" s="499">
        <v>39011.686961999403</v>
      </c>
      <c r="G7" s="499">
        <v>7517.7276920000086</v>
      </c>
      <c r="H7" s="499">
        <v>23089.93686700254</v>
      </c>
      <c r="I7" s="497"/>
      <c r="J7" s="494" t="s">
        <v>2947</v>
      </c>
      <c r="K7" s="495"/>
      <c r="L7" s="495"/>
      <c r="M7" s="495"/>
      <c r="N7" s="491"/>
    </row>
    <row r="8" spans="1:18">
      <c r="A8" s="496"/>
      <c r="B8" s="500"/>
      <c r="C8" s="760"/>
      <c r="D8" s="501"/>
      <c r="E8" s="501"/>
      <c r="F8" s="501"/>
      <c r="G8" s="501"/>
      <c r="H8" s="502"/>
      <c r="I8" s="497"/>
      <c r="J8" s="501"/>
      <c r="K8" s="495"/>
      <c r="L8" s="495"/>
      <c r="M8" s="495"/>
      <c r="N8" s="491"/>
    </row>
    <row r="9" spans="1:18" ht="30.75" customHeight="1" thickBot="1">
      <c r="A9" s="496"/>
      <c r="B9" s="861" t="s">
        <v>193</v>
      </c>
      <c r="C9" s="861"/>
      <c r="D9" s="861"/>
      <c r="E9" s="861"/>
      <c r="F9" s="861"/>
      <c r="G9" s="495"/>
      <c r="H9" s="503"/>
      <c r="I9" s="497"/>
      <c r="J9" s="495"/>
      <c r="K9" s="495"/>
      <c r="L9" s="495"/>
      <c r="M9" s="495"/>
      <c r="N9" s="491"/>
    </row>
    <row r="10" spans="1:18" ht="26">
      <c r="A10" s="498"/>
      <c r="B10" s="506" t="s">
        <v>194</v>
      </c>
      <c r="C10" s="506" t="s">
        <v>364</v>
      </c>
      <c r="D10" s="506" t="s">
        <v>59</v>
      </c>
      <c r="E10" s="506" t="s">
        <v>1348</v>
      </c>
      <c r="F10" s="504" t="s">
        <v>3252</v>
      </c>
      <c r="G10" s="503"/>
      <c r="H10" s="503"/>
      <c r="I10" s="503"/>
      <c r="J10" s="503" t="s">
        <v>2946</v>
      </c>
      <c r="K10" s="495"/>
      <c r="L10" s="495"/>
      <c r="M10" s="495"/>
      <c r="N10" s="491"/>
    </row>
    <row r="11" spans="1:18">
      <c r="A11" s="498">
        <v>2019</v>
      </c>
      <c r="B11" s="499">
        <f>C11+D11+E11</f>
        <v>23063</v>
      </c>
      <c r="C11" s="499">
        <v>3233</v>
      </c>
      <c r="D11" s="499">
        <v>5739</v>
      </c>
      <c r="E11" s="499">
        <v>14091</v>
      </c>
      <c r="F11" s="762">
        <v>1717</v>
      </c>
      <c r="G11" s="495"/>
      <c r="H11" s="771">
        <f>H7/H15</f>
        <v>0.42552245134973476</v>
      </c>
      <c r="I11" s="495"/>
      <c r="J11" s="507" t="s">
        <v>3251</v>
      </c>
      <c r="K11" s="495"/>
      <c r="L11" s="495"/>
      <c r="M11" s="495"/>
      <c r="N11" s="491"/>
    </row>
    <row r="12" spans="1:18">
      <c r="A12" s="496"/>
      <c r="B12" s="495"/>
      <c r="C12" s="495"/>
      <c r="D12" s="495"/>
      <c r="E12" s="495"/>
      <c r="F12" s="495"/>
      <c r="G12" s="495"/>
      <c r="H12" s="495"/>
      <c r="I12" s="495"/>
      <c r="J12" s="495"/>
      <c r="K12" s="495"/>
      <c r="L12" s="495"/>
      <c r="M12" s="495"/>
      <c r="N12" s="491"/>
    </row>
    <row r="13" spans="1:18" ht="14.5" thickBot="1">
      <c r="A13" s="496"/>
      <c r="B13" s="861" t="s">
        <v>195</v>
      </c>
      <c r="C13" s="861"/>
      <c r="D13" s="861"/>
      <c r="E13" s="861"/>
      <c r="F13" s="861"/>
      <c r="G13" s="861"/>
      <c r="H13" s="861"/>
      <c r="I13" s="495"/>
      <c r="J13" s="508"/>
      <c r="K13" s="495"/>
      <c r="L13" s="495"/>
      <c r="M13" s="495"/>
      <c r="N13" s="491"/>
    </row>
    <row r="14" spans="1:18">
      <c r="A14" s="496"/>
      <c r="B14" s="502" t="s">
        <v>196</v>
      </c>
      <c r="C14" s="509" t="s">
        <v>92</v>
      </c>
      <c r="D14" s="502" t="s">
        <v>98</v>
      </c>
      <c r="E14" s="509" t="s">
        <v>91</v>
      </c>
      <c r="F14" s="510" t="s">
        <v>43</v>
      </c>
      <c r="G14" s="511" t="s">
        <v>136</v>
      </c>
      <c r="H14" s="509" t="s">
        <v>83</v>
      </c>
      <c r="I14" s="503"/>
      <c r="J14" s="494" t="s">
        <v>2945</v>
      </c>
      <c r="K14" s="495"/>
      <c r="L14" s="495"/>
      <c r="M14" s="495"/>
      <c r="N14" s="491"/>
    </row>
    <row r="15" spans="1:18">
      <c r="A15" s="498">
        <v>2019</v>
      </c>
      <c r="B15" s="499">
        <v>119207.95652081029</v>
      </c>
      <c r="C15" s="512">
        <v>11565.817053426277</v>
      </c>
      <c r="D15" s="499">
        <v>11509.006829738191</v>
      </c>
      <c r="E15" s="512">
        <v>5278.0476993536295</v>
      </c>
      <c r="F15" s="499">
        <v>28754.171181206937</v>
      </c>
      <c r="G15" s="513">
        <v>7838.3553567881982</v>
      </c>
      <c r="H15" s="512">
        <v>54262.558400297043</v>
      </c>
      <c r="I15" s="503"/>
      <c r="J15" s="514" t="s">
        <v>2947</v>
      </c>
      <c r="K15" s="495"/>
      <c r="L15" s="495"/>
      <c r="M15" s="495"/>
      <c r="N15" s="491"/>
    </row>
    <row r="16" spans="1:18">
      <c r="A16" s="515"/>
      <c r="B16" s="499">
        <f>B15+F11</f>
        <v>120924.95652081029</v>
      </c>
      <c r="C16" s="512">
        <f t="shared" ref="C16:H16" si="0">C15+C15*$F11/$B15</f>
        <v>11732.404154323911</v>
      </c>
      <c r="D16" s="499">
        <f t="shared" si="0"/>
        <v>11674.775670203222</v>
      </c>
      <c r="E16" s="512">
        <f t="shared" si="0"/>
        <v>5354.0695368574725</v>
      </c>
      <c r="F16" s="499">
        <f t="shared" si="0"/>
        <v>29168.32903911396</v>
      </c>
      <c r="G16" s="513">
        <f t="shared" si="0"/>
        <v>7951.2543321620096</v>
      </c>
      <c r="H16" s="512">
        <f t="shared" si="0"/>
        <v>55044.1237881497</v>
      </c>
      <c r="I16" s="503"/>
      <c r="J16" s="516"/>
      <c r="K16" s="495"/>
      <c r="L16" s="495"/>
      <c r="M16" s="495"/>
      <c r="N16" s="491"/>
    </row>
    <row r="17" spans="1:14">
      <c r="A17" s="515"/>
      <c r="B17" s="499"/>
      <c r="C17" s="517" t="s">
        <v>1762</v>
      </c>
      <c r="D17" s="517"/>
      <c r="E17" s="517"/>
      <c r="F17" s="517"/>
      <c r="G17" s="518"/>
      <c r="H17" s="517"/>
      <c r="I17" s="503"/>
      <c r="J17" s="516"/>
      <c r="K17" s="495"/>
      <c r="L17" s="495"/>
      <c r="M17" s="495"/>
      <c r="N17" s="491"/>
    </row>
    <row r="18" spans="1:14" ht="14.5" thickBot="1">
      <c r="A18" s="519"/>
      <c r="B18" s="520"/>
      <c r="C18" s="486"/>
      <c r="D18" s="486"/>
      <c r="E18" s="486"/>
      <c r="F18" s="486"/>
      <c r="G18" s="486"/>
      <c r="H18" s="486"/>
      <c r="I18" s="521"/>
      <c r="J18" s="522"/>
      <c r="K18" s="522"/>
      <c r="L18" s="522"/>
      <c r="M18" s="522"/>
      <c r="N18" s="523"/>
    </row>
    <row r="19" spans="1:14">
      <c r="A19" s="479" t="s">
        <v>2766</v>
      </c>
      <c r="B19" s="482"/>
      <c r="C19" s="524"/>
      <c r="D19" s="524"/>
      <c r="E19" s="524"/>
      <c r="F19" s="524"/>
      <c r="G19" s="524"/>
      <c r="H19" s="524"/>
      <c r="I19" s="524"/>
      <c r="J19" s="482"/>
      <c r="K19" s="482"/>
      <c r="L19" s="482"/>
      <c r="M19" s="482"/>
      <c r="N19" s="483"/>
    </row>
    <row r="20" spans="1:14" ht="14.5" thickBot="1">
      <c r="A20" s="496"/>
      <c r="B20" s="525" t="s">
        <v>2925</v>
      </c>
      <c r="C20" s="503"/>
      <c r="D20" s="503"/>
      <c r="E20" s="495"/>
      <c r="F20" s="495"/>
      <c r="G20" s="495"/>
      <c r="H20" s="495"/>
      <c r="I20" s="495"/>
      <c r="J20" s="495"/>
      <c r="K20" s="495"/>
      <c r="L20" s="495"/>
      <c r="M20" s="495"/>
      <c r="N20" s="491"/>
    </row>
    <row r="21" spans="1:14" ht="14.5" thickBot="1">
      <c r="A21" s="496">
        <v>2019</v>
      </c>
      <c r="B21" s="526">
        <v>129482626.34099999</v>
      </c>
      <c r="C21" s="495" t="s">
        <v>2926</v>
      </c>
      <c r="D21" s="495"/>
      <c r="F21" s="495"/>
      <c r="G21" s="495"/>
      <c r="H21" s="495"/>
      <c r="I21" s="495"/>
      <c r="J21" s="495"/>
      <c r="K21" s="495"/>
      <c r="L21" s="495"/>
      <c r="M21" s="495"/>
      <c r="N21" s="491"/>
    </row>
    <row r="22" spans="1:14">
      <c r="A22" s="496"/>
      <c r="B22" s="495"/>
      <c r="D22" s="495"/>
      <c r="E22" s="495"/>
      <c r="F22" s="495"/>
      <c r="G22" s="477" t="s">
        <v>2658</v>
      </c>
      <c r="H22" s="495"/>
      <c r="I22" s="495"/>
      <c r="J22" s="495"/>
      <c r="K22" s="495"/>
      <c r="L22" s="495"/>
      <c r="M22" s="495"/>
      <c r="N22" s="491"/>
    </row>
    <row r="23" spans="1:14" ht="14.5" thickBot="1">
      <c r="A23" s="496"/>
      <c r="B23" s="525" t="s">
        <v>2927</v>
      </c>
      <c r="C23" s="503"/>
      <c r="D23" s="503"/>
      <c r="E23" s="495"/>
      <c r="F23" s="495"/>
      <c r="G23" s="495"/>
      <c r="H23" s="495"/>
      <c r="I23" s="495"/>
      <c r="J23" s="495"/>
      <c r="K23" s="495"/>
      <c r="L23" s="495"/>
      <c r="M23" s="495"/>
      <c r="N23" s="491"/>
    </row>
    <row r="24" spans="1:14" ht="14.5" thickBot="1">
      <c r="A24" s="496">
        <v>2019</v>
      </c>
      <c r="B24" s="741">
        <v>2286403</v>
      </c>
      <c r="C24" s="495" t="s">
        <v>2926</v>
      </c>
      <c r="D24" s="495"/>
      <c r="E24" s="477"/>
      <c r="F24" s="495"/>
      <c r="G24" s="495"/>
      <c r="H24" s="495"/>
      <c r="I24" s="495"/>
      <c r="J24" s="495"/>
      <c r="K24" s="495"/>
      <c r="L24" s="495"/>
      <c r="M24" s="495"/>
      <c r="N24" s="491"/>
    </row>
    <row r="25" spans="1:14">
      <c r="A25" s="496"/>
      <c r="B25" s="495"/>
      <c r="C25" s="495"/>
      <c r="D25" s="495"/>
      <c r="E25" s="495"/>
      <c r="F25" s="495"/>
      <c r="G25" s="495"/>
      <c r="H25" s="495"/>
      <c r="I25" s="495"/>
      <c r="J25" s="495"/>
      <c r="K25" s="495"/>
      <c r="L25" s="495"/>
      <c r="M25" s="495"/>
      <c r="N25" s="491"/>
    </row>
    <row r="26" spans="1:14" ht="14.5" thickBot="1">
      <c r="A26" s="496"/>
      <c r="B26" s="527" t="s">
        <v>2760</v>
      </c>
      <c r="C26" s="495"/>
      <c r="D26" s="495"/>
      <c r="E26" s="495"/>
      <c r="F26" s="495"/>
      <c r="G26" s="495"/>
      <c r="H26" s="495"/>
      <c r="I26" s="495"/>
      <c r="J26" s="495"/>
      <c r="K26" s="495"/>
      <c r="L26" s="495"/>
      <c r="M26" s="495"/>
      <c r="N26" s="491"/>
    </row>
    <row r="27" spans="1:14" ht="14.5" thickBot="1">
      <c r="A27" s="496">
        <v>2019</v>
      </c>
      <c r="B27" s="526">
        <v>339683</v>
      </c>
      <c r="C27" s="495" t="s">
        <v>3259</v>
      </c>
      <c r="D27" s="495"/>
      <c r="E27" s="495"/>
      <c r="F27" s="495"/>
      <c r="G27" s="495"/>
      <c r="H27" s="495"/>
      <c r="I27" s="495"/>
      <c r="J27" s="495"/>
      <c r="K27" s="495"/>
      <c r="L27" s="495"/>
      <c r="M27" s="495"/>
      <c r="N27" s="491"/>
    </row>
    <row r="28" spans="1:14">
      <c r="A28" s="496"/>
      <c r="B28" s="505"/>
      <c r="C28" s="505"/>
      <c r="D28" s="495"/>
      <c r="E28" s="495"/>
      <c r="F28" s="495"/>
      <c r="G28" s="495"/>
      <c r="H28" s="495"/>
      <c r="I28" s="495"/>
      <c r="J28" s="495"/>
      <c r="K28" s="495"/>
      <c r="L28" s="495"/>
      <c r="M28" s="495"/>
      <c r="N28" s="491"/>
    </row>
    <row r="29" spans="1:14" ht="14.5" thickBot="1">
      <c r="A29" s="496"/>
      <c r="B29" s="502" t="s">
        <v>2761</v>
      </c>
      <c r="C29" s="503"/>
      <c r="D29" s="503"/>
      <c r="E29" s="477" t="s">
        <v>2764</v>
      </c>
      <c r="F29" s="495"/>
      <c r="G29" s="495"/>
      <c r="H29" s="495"/>
      <c r="I29" s="495"/>
      <c r="J29" s="495"/>
      <c r="K29" s="495"/>
      <c r="L29" s="495"/>
      <c r="M29" s="495"/>
      <c r="N29" s="491"/>
    </row>
    <row r="30" spans="1:14" ht="14.5" thickBot="1">
      <c r="A30" s="496">
        <v>2019</v>
      </c>
      <c r="B30" s="526">
        <v>12818373</v>
      </c>
      <c r="C30" s="170" t="s">
        <v>2775</v>
      </c>
      <c r="D30" s="528"/>
      <c r="E30" s="516">
        <v>44291</v>
      </c>
      <c r="F30" s="495"/>
      <c r="G30" s="495"/>
      <c r="H30" s="495"/>
      <c r="I30" s="495"/>
      <c r="J30" s="495"/>
      <c r="K30" s="495"/>
      <c r="L30" s="495"/>
      <c r="M30" s="495"/>
      <c r="N30" s="491"/>
    </row>
    <row r="31" spans="1:14">
      <c r="A31" s="496"/>
      <c r="B31" s="495"/>
      <c r="C31" s="170" t="s">
        <v>2776</v>
      </c>
      <c r="D31" s="495"/>
      <c r="E31" s="495"/>
      <c r="F31" s="495"/>
      <c r="G31" s="495"/>
      <c r="H31" s="495"/>
      <c r="I31" s="495"/>
      <c r="J31" s="495"/>
      <c r="K31" s="495"/>
      <c r="L31" s="495"/>
      <c r="M31" s="495"/>
      <c r="N31" s="491"/>
    </row>
    <row r="32" spans="1:14" ht="14.5" thickBot="1">
      <c r="A32" s="496"/>
      <c r="B32" s="502" t="s">
        <v>2762</v>
      </c>
      <c r="C32" s="503"/>
      <c r="D32" s="503"/>
      <c r="E32" s="495"/>
      <c r="F32" s="495"/>
      <c r="G32" s="495"/>
      <c r="H32" s="495"/>
      <c r="I32" s="495"/>
      <c r="J32" s="495"/>
      <c r="K32" s="495"/>
      <c r="L32" s="495"/>
      <c r="M32" s="495"/>
      <c r="N32" s="491"/>
    </row>
    <row r="33" spans="1:14" ht="14.5" thickBot="1">
      <c r="A33" s="496">
        <v>2019</v>
      </c>
      <c r="B33" s="526">
        <v>191454835</v>
      </c>
      <c r="C33" s="170" t="s">
        <v>2763</v>
      </c>
      <c r="D33" s="528"/>
      <c r="E33" s="516">
        <v>44291</v>
      </c>
      <c r="F33" s="495"/>
      <c r="G33" s="495"/>
      <c r="H33" s="495"/>
      <c r="I33" s="495"/>
      <c r="J33" s="495"/>
      <c r="K33" s="495"/>
      <c r="L33" s="495"/>
      <c r="M33" s="495"/>
      <c r="N33" s="491"/>
    </row>
    <row r="34" spans="1:14" ht="14.5" thickBot="1">
      <c r="A34" s="519"/>
      <c r="B34" s="522"/>
      <c r="C34" s="522" t="s">
        <v>2776</v>
      </c>
      <c r="D34" s="522"/>
      <c r="E34" s="522"/>
      <c r="F34" s="522"/>
      <c r="G34" s="522"/>
      <c r="H34" s="522"/>
      <c r="I34" s="522"/>
      <c r="J34" s="522"/>
      <c r="K34" s="522"/>
      <c r="L34" s="522"/>
      <c r="M34" s="522"/>
      <c r="N34" s="523"/>
    </row>
  </sheetData>
  <mergeCells count="3">
    <mergeCell ref="B13:H13"/>
    <mergeCell ref="B5:H5"/>
    <mergeCell ref="B9:F9"/>
  </mergeCells>
  <phoneticPr fontId="7" type="noConversion"/>
  <hyperlinks>
    <hyperlink ref="E29" r:id="rId1"/>
    <hyperlink ref="G22" r:id="rId2"/>
  </hyperlinks>
  <pageMargins left="0.7" right="0.7" top="0.75" bottom="0.75" header="0.3" footer="0.3"/>
  <pageSetup scale="68" orientation="landscape"/>
  <headerFooter>
    <oddFooter>&amp;R&amp;A Page &amp;P of &amp;N</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O233"/>
  <sheetViews>
    <sheetView topLeftCell="A3" zoomScaleNormal="100" workbookViewId="0">
      <selection activeCell="D16" sqref="D16"/>
    </sheetView>
  </sheetViews>
  <sheetFormatPr defaultColWidth="8.81640625" defaultRowHeight="12.5"/>
  <cols>
    <col min="1" max="1" width="54.1796875" customWidth="1"/>
    <col min="2" max="2" width="16.453125" customWidth="1"/>
    <col min="3" max="3" width="3.453125" customWidth="1"/>
    <col min="4" max="4" width="43.453125" style="93" customWidth="1"/>
    <col min="5" max="5" width="14.6328125" style="93" customWidth="1"/>
    <col min="6" max="7" width="25.453125" style="93" customWidth="1"/>
    <col min="8" max="8" width="3.36328125" style="93" customWidth="1"/>
    <col min="9" max="9" width="19" style="93" customWidth="1"/>
    <col min="10" max="10" width="3.36328125" style="93" customWidth="1"/>
    <col min="11" max="11" width="14.453125" style="93" customWidth="1"/>
    <col min="12" max="12" width="17.6328125" style="93" customWidth="1"/>
    <col min="13" max="13" width="3.36328125" style="93" customWidth="1"/>
    <col min="14" max="14" width="12" style="93" customWidth="1"/>
    <col min="15" max="15" width="14.1796875" style="93" customWidth="1"/>
  </cols>
  <sheetData>
    <row r="1" spans="1:15" ht="21.75" customHeight="1">
      <c r="A1" s="319" t="s">
        <v>2791</v>
      </c>
    </row>
    <row r="2" spans="1:15" ht="14.25" customHeight="1">
      <c r="A2" s="28" t="s">
        <v>2878</v>
      </c>
    </row>
    <row r="3" spans="1:15" ht="15" customHeight="1">
      <c r="A3" s="28" t="s">
        <v>2930</v>
      </c>
    </row>
    <row r="4" spans="1:15" ht="15" customHeight="1">
      <c r="A4" s="28" t="s">
        <v>2792</v>
      </c>
    </row>
    <row r="6" spans="1:15" ht="13">
      <c r="A6" s="863" t="s">
        <v>1624</v>
      </c>
      <c r="B6" s="863"/>
      <c r="D6" s="862" t="s">
        <v>212</v>
      </c>
      <c r="E6" s="862"/>
      <c r="F6" s="862"/>
      <c r="G6" s="105"/>
      <c r="I6" s="105" t="s">
        <v>212</v>
      </c>
      <c r="K6" s="862" t="s">
        <v>212</v>
      </c>
      <c r="L6" s="862"/>
      <c r="N6" s="862" t="s">
        <v>212</v>
      </c>
      <c r="O6" s="862"/>
    </row>
    <row r="7" spans="1:15" ht="13">
      <c r="A7" s="863">
        <v>2019</v>
      </c>
      <c r="B7" s="863"/>
      <c r="D7" s="862" t="s">
        <v>213</v>
      </c>
      <c r="E7" s="862"/>
      <c r="F7" s="862"/>
      <c r="G7" s="105"/>
      <c r="H7" s="106"/>
      <c r="I7" s="105" t="s">
        <v>214</v>
      </c>
      <c r="K7" s="862" t="s">
        <v>215</v>
      </c>
      <c r="L7" s="862"/>
      <c r="N7" s="862" t="s">
        <v>216</v>
      </c>
      <c r="O7" s="862"/>
    </row>
    <row r="8" spans="1:15" s="13" customFormat="1" ht="35.5">
      <c r="A8" s="94"/>
      <c r="B8" s="95" t="s">
        <v>341</v>
      </c>
      <c r="D8" s="107" t="s">
        <v>217</v>
      </c>
      <c r="E8" s="107" t="s">
        <v>218</v>
      </c>
      <c r="F8" s="107" t="s">
        <v>2667</v>
      </c>
      <c r="G8" s="107" t="s">
        <v>2668</v>
      </c>
      <c r="H8" s="93"/>
      <c r="I8" s="92" t="s">
        <v>339</v>
      </c>
      <c r="J8" s="106"/>
      <c r="K8" s="90" t="s">
        <v>340</v>
      </c>
      <c r="L8" s="91" t="s">
        <v>341</v>
      </c>
      <c r="M8" s="106"/>
      <c r="N8" s="90" t="s">
        <v>342</v>
      </c>
      <c r="O8" s="91" t="s">
        <v>341</v>
      </c>
    </row>
    <row r="9" spans="1:15" s="13" customFormat="1" ht="27" customHeight="1">
      <c r="A9" s="96" t="s">
        <v>220</v>
      </c>
      <c r="B9" s="97">
        <f>SUM(B10:B15)</f>
        <v>16382272331.679642</v>
      </c>
      <c r="D9" s="90" t="s">
        <v>221</v>
      </c>
      <c r="E9" s="106"/>
      <c r="F9" s="107" t="s">
        <v>2669</v>
      </c>
      <c r="G9" s="107" t="s">
        <v>2670</v>
      </c>
      <c r="H9" s="108"/>
      <c r="I9" s="106"/>
      <c r="J9" s="106"/>
      <c r="K9" s="106"/>
      <c r="L9" s="106"/>
      <c r="M9" s="106"/>
      <c r="N9" s="106"/>
      <c r="O9" s="106"/>
    </row>
    <row r="10" spans="1:15">
      <c r="A10" s="98" t="s">
        <v>2671</v>
      </c>
      <c r="B10" s="99">
        <f>I23</f>
        <v>4912070000.529952</v>
      </c>
      <c r="D10" s="109" t="s">
        <v>400</v>
      </c>
      <c r="E10" s="110" t="s">
        <v>45</v>
      </c>
      <c r="F10" s="108">
        <f>'EIA Form 923'!T2089-'EIA Form 923'!W2089</f>
        <v>0</v>
      </c>
      <c r="G10" s="108">
        <f>'EIA Form 923'!T2089</f>
        <v>0</v>
      </c>
      <c r="H10" s="108"/>
      <c r="I10" s="111">
        <f>F10*'GWPs &amp; Fuel EFs'!$N5</f>
        <v>0</v>
      </c>
      <c r="K10" s="111">
        <f>G10*'GWPs &amp; Fuel EFs'!$M33</f>
        <v>0</v>
      </c>
      <c r="L10" s="111">
        <f>K10*'GWPs &amp; Fuel EFs'!$D$11</f>
        <v>0</v>
      </c>
      <c r="N10" s="111">
        <f>G10*'GWPs &amp; Fuel EFs'!$M61</f>
        <v>0</v>
      </c>
      <c r="O10" s="111">
        <f>N10*'GWPs &amp; Fuel EFs'!$E$11</f>
        <v>0</v>
      </c>
    </row>
    <row r="11" spans="1:15">
      <c r="A11" s="98" t="s">
        <v>2672</v>
      </c>
      <c r="B11" s="100">
        <f>'EPA Part 75'!I357*2000</f>
        <v>11322274482</v>
      </c>
      <c r="D11" s="109" t="s">
        <v>401</v>
      </c>
      <c r="E11" s="110" t="s">
        <v>50</v>
      </c>
      <c r="F11" s="108">
        <f>'EIA Form 923'!T2090-'EIA Form 923'!W2090</f>
        <v>0</v>
      </c>
      <c r="G11" s="108">
        <f>'EIA Form 923'!T2090</f>
        <v>0</v>
      </c>
      <c r="I11" s="111">
        <f>F11*'GWPs &amp; Fuel EFs'!$N6</f>
        <v>0</v>
      </c>
      <c r="K11" s="111">
        <f>G11*'GWPs &amp; Fuel EFs'!$M34</f>
        <v>0</v>
      </c>
      <c r="L11" s="111">
        <f>K11*'GWPs &amp; Fuel EFs'!$D$11</f>
        <v>0</v>
      </c>
      <c r="N11" s="111">
        <f>G11*'GWPs &amp; Fuel EFs'!$M62</f>
        <v>0</v>
      </c>
      <c r="O11" s="111">
        <f>N11*'GWPs &amp; Fuel EFs'!$E$11</f>
        <v>0</v>
      </c>
    </row>
    <row r="12" spans="1:15">
      <c r="A12" s="98" t="s">
        <v>222</v>
      </c>
      <c r="B12" s="99">
        <f>L23</f>
        <v>34091162.819336809</v>
      </c>
      <c r="D12" s="109" t="s">
        <v>389</v>
      </c>
      <c r="E12" s="110" t="s">
        <v>48</v>
      </c>
      <c r="F12" s="108">
        <f>'EIA Form 923'!T2091-'EIA Form 923'!W2091</f>
        <v>158907</v>
      </c>
      <c r="G12" s="108">
        <f>'EIA Form 923'!T2091</f>
        <v>373857</v>
      </c>
      <c r="I12" s="111">
        <f>F12*'GWPs &amp; Fuel EFs'!$N7</f>
        <v>25630109.902874399</v>
      </c>
      <c r="K12" s="111">
        <f>G12*'GWPs &amp; Fuel EFs'!$M35</f>
        <v>2472.6407965360199</v>
      </c>
      <c r="L12" s="111">
        <f>K12*'GWPs &amp; Fuel EFs'!$D$11</f>
        <v>61816.019913400502</v>
      </c>
      <c r="N12" s="111">
        <f>G12*'GWPs &amp; Fuel EFs'!$M63</f>
        <v>494.52815930720396</v>
      </c>
      <c r="O12" s="111">
        <f>N12*'GWPs &amp; Fuel EFs'!$E$11</f>
        <v>147369.39147354677</v>
      </c>
    </row>
    <row r="13" spans="1:15">
      <c r="A13" s="98" t="s">
        <v>223</v>
      </c>
      <c r="B13" s="99">
        <f>O23</f>
        <v>51903450.560453683</v>
      </c>
      <c r="D13" s="109" t="s">
        <v>388</v>
      </c>
      <c r="E13" s="110" t="s">
        <v>41</v>
      </c>
      <c r="F13" s="108">
        <f>'EIA Form 923'!T2092-'EIA Form 923'!W2092</f>
        <v>12676385</v>
      </c>
      <c r="G13" s="108">
        <f>'EIA Form 923'!T2092</f>
        <v>110529918</v>
      </c>
      <c r="I13" s="111">
        <f>F13*'GWPs &amp; Fuel EFs'!$N8</f>
        <v>1483126693.4640088</v>
      </c>
      <c r="K13" s="111">
        <f>G13*'GWPs &amp; Fuel EFs'!$M36</f>
        <v>243676.75740954516</v>
      </c>
      <c r="L13" s="111">
        <f>K13*'GWPs &amp; Fuel EFs'!$D$11</f>
        <v>6091918.9352386286</v>
      </c>
      <c r="N13" s="111">
        <f>G13*'GWPs &amp; Fuel EFs'!$M64</f>
        <v>24367.675740954517</v>
      </c>
      <c r="O13" s="111">
        <f>N13*'GWPs &amp; Fuel EFs'!$E$11</f>
        <v>7261567.3708044458</v>
      </c>
    </row>
    <row r="14" spans="1:15">
      <c r="A14" s="98" t="s">
        <v>224</v>
      </c>
      <c r="B14" s="99">
        <f>L33</f>
        <v>22599501.308911655</v>
      </c>
      <c r="D14" s="109" t="s">
        <v>402</v>
      </c>
      <c r="E14" s="110" t="s">
        <v>19</v>
      </c>
      <c r="F14" s="108">
        <f>'EIA Form 923'!T2093-'EIA Form 923'!W2093</f>
        <v>16783111</v>
      </c>
      <c r="G14" s="108">
        <f>'EIA Form 923'!T2093</f>
        <v>16783111</v>
      </c>
      <c r="I14" s="111">
        <f>F14*'GWPs &amp; Fuel EFs'!$N9</f>
        <v>3400753211.2465243</v>
      </c>
      <c r="K14" s="111">
        <f>G14*'GWPs &amp; Fuel EFs'!$M37</f>
        <v>1112569.2076051875</v>
      </c>
      <c r="L14" s="111">
        <f>K14*'GWPs &amp; Fuel EFs'!$D$11</f>
        <v>27814230.19012969</v>
      </c>
      <c r="N14" s="111">
        <f>G14*'GWPs &amp; Fuel EFs'!$M65</f>
        <v>148342.56101402506</v>
      </c>
      <c r="O14" s="111">
        <f>N14*'GWPs &amp; Fuel EFs'!$E$11</f>
        <v>44206083.182179466</v>
      </c>
    </row>
    <row r="15" spans="1:15">
      <c r="A15" s="98" t="s">
        <v>225</v>
      </c>
      <c r="B15" s="99">
        <f>O33</f>
        <v>39333734.46098657</v>
      </c>
      <c r="D15" s="109" t="s">
        <v>403</v>
      </c>
      <c r="E15" s="110" t="s">
        <v>84</v>
      </c>
      <c r="F15" s="108">
        <f>'EIA Form 923'!T2094-'EIA Form 923'!W2094</f>
        <v>0</v>
      </c>
      <c r="G15" s="108">
        <f>'EIA Form 923'!T2094</f>
        <v>0</v>
      </c>
      <c r="I15" s="111">
        <f>F15*'GWPs &amp; Fuel EFs'!$N10</f>
        <v>0</v>
      </c>
      <c r="K15" s="111">
        <f>G15*'GWPs &amp; Fuel EFs'!$M38</f>
        <v>0</v>
      </c>
      <c r="L15" s="111">
        <f>K15*'GWPs &amp; Fuel EFs'!$D$11</f>
        <v>0</v>
      </c>
      <c r="N15" s="111">
        <f>G15*'GWPs &amp; Fuel EFs'!$M66</f>
        <v>0</v>
      </c>
      <c r="O15" s="111">
        <f>N15*'GWPs &amp; Fuel EFs'!$E$11</f>
        <v>0</v>
      </c>
    </row>
    <row r="16" spans="1:15">
      <c r="A16" s="98"/>
      <c r="B16" s="98"/>
      <c r="D16" s="109" t="s">
        <v>398</v>
      </c>
      <c r="E16" s="110" t="s">
        <v>410</v>
      </c>
      <c r="F16" s="108">
        <f>'EIA Form 923'!T2095-'EIA Form 923'!W2095</f>
        <v>3648</v>
      </c>
      <c r="G16" s="108">
        <f>'EIA Form 923'!T2095</f>
        <v>3648</v>
      </c>
      <c r="I16" s="111">
        <f>F16*'GWPs &amp; Fuel EFs'!$N11</f>
        <v>691409.74974719994</v>
      </c>
      <c r="K16" s="111">
        <f>G16*'GWPs &amp; Fuel EFs'!$M39</f>
        <v>257.35882616831998</v>
      </c>
      <c r="L16" s="111">
        <f>K16*'GWPs &amp; Fuel EFs'!$D$11</f>
        <v>6433.9706542079994</v>
      </c>
      <c r="N16" s="111">
        <f>G16*'GWPs &amp; Fuel EFs'!$M67</f>
        <v>33.778345934591997</v>
      </c>
      <c r="O16" s="111">
        <f>N16*'GWPs &amp; Fuel EFs'!$E$11</f>
        <v>10065.947088508416</v>
      </c>
    </row>
    <row r="17" spans="1:15">
      <c r="A17" s="98"/>
      <c r="B17" s="98"/>
      <c r="D17" s="109" t="s">
        <v>391</v>
      </c>
      <c r="E17" s="110" t="s">
        <v>67</v>
      </c>
      <c r="F17" s="108">
        <f>'EIA Form 923'!T2096-'EIA Form 923'!W2096</f>
        <v>0</v>
      </c>
      <c r="G17" s="108">
        <f>'EIA Form 923'!T2096</f>
        <v>0</v>
      </c>
      <c r="I17" s="111">
        <f>F17*'GWPs &amp; Fuel EFs'!$N12</f>
        <v>0</v>
      </c>
      <c r="K17" s="111">
        <f>G17*'GWPs &amp; Fuel EFs'!$M40</f>
        <v>0</v>
      </c>
      <c r="L17" s="111">
        <f>K17*'GWPs &amp; Fuel EFs'!$D$11</f>
        <v>0</v>
      </c>
      <c r="N17" s="111">
        <f>G17*'GWPs &amp; Fuel EFs'!$M68</f>
        <v>0</v>
      </c>
      <c r="O17" s="111">
        <f>N17*'GWPs &amp; Fuel EFs'!$E$11</f>
        <v>0</v>
      </c>
    </row>
    <row r="18" spans="1:15">
      <c r="A18" s="98"/>
      <c r="B18" s="98"/>
      <c r="D18" s="109" t="s">
        <v>390</v>
      </c>
      <c r="E18" s="110" t="s">
        <v>63</v>
      </c>
      <c r="F18" s="108">
        <f>'EIA Form 923'!T2097-'EIA Form 923'!W2097</f>
        <v>0</v>
      </c>
      <c r="G18" s="108">
        <f>'EIA Form 923'!T2097</f>
        <v>692806</v>
      </c>
      <c r="I18" s="111">
        <f>F18*'GWPs &amp; Fuel EFs'!$N13</f>
        <v>0</v>
      </c>
      <c r="K18" s="111">
        <f>G18*'GWPs &amp; Fuel EFs'!$M41</f>
        <v>4582.1273366151599</v>
      </c>
      <c r="L18" s="111">
        <f>K18*'GWPs &amp; Fuel EFs'!$D$11</f>
        <v>114553.183415379</v>
      </c>
      <c r="N18" s="111">
        <f>G18*'GWPs &amp; Fuel EFs'!$M69</f>
        <v>916.42546732303185</v>
      </c>
      <c r="O18" s="111">
        <f>N18*'GWPs &amp; Fuel EFs'!$E$11</f>
        <v>273094.78926226351</v>
      </c>
    </row>
    <row r="19" spans="1:15">
      <c r="A19" s="98"/>
      <c r="B19" s="98"/>
      <c r="D19" s="109" t="s">
        <v>392</v>
      </c>
      <c r="E19" s="110" t="s">
        <v>68</v>
      </c>
      <c r="F19" s="108">
        <f>'EIA Form 923'!T2098-'EIA Form 923'!W2098</f>
        <v>0</v>
      </c>
      <c r="G19" s="108">
        <f>'EIA Form 923'!T2098</f>
        <v>0</v>
      </c>
      <c r="I19" s="111">
        <f>F19*'GWPs &amp; Fuel EFs'!$N14</f>
        <v>0</v>
      </c>
      <c r="K19" s="111">
        <f>G19*'GWPs &amp; Fuel EFs'!$M42</f>
        <v>0</v>
      </c>
      <c r="L19" s="111">
        <f>K19*'GWPs &amp; Fuel EFs'!$D$11</f>
        <v>0</v>
      </c>
      <c r="N19" s="111">
        <f>G19*'GWPs &amp; Fuel EFs'!$M70</f>
        <v>0</v>
      </c>
      <c r="O19" s="111">
        <f>N19*'GWPs &amp; Fuel EFs'!$E$11</f>
        <v>0</v>
      </c>
    </row>
    <row r="20" spans="1:15">
      <c r="A20" s="98"/>
      <c r="B20" s="98"/>
      <c r="D20" s="109" t="s">
        <v>393</v>
      </c>
      <c r="E20" s="110" t="s">
        <v>78</v>
      </c>
      <c r="F20" s="108">
        <f>'EIA Form 923'!T2099-'EIA Form 923'!W2099</f>
        <v>11723</v>
      </c>
      <c r="G20" s="108">
        <f>'EIA Form 923'!T2099</f>
        <v>13369</v>
      </c>
      <c r="I20" s="111">
        <f>F20*'GWPs &amp; Fuel EFs'!$N15</f>
        <v>1868576.1667979995</v>
      </c>
      <c r="K20" s="111">
        <f>G20*'GWPs &amp; Fuel EFs'!$M43</f>
        <v>88.420799420340003</v>
      </c>
      <c r="L20" s="111">
        <f>K20*'GWPs &amp; Fuel EFs'!$D$11</f>
        <v>2210.5199855085002</v>
      </c>
      <c r="N20" s="111">
        <f>G20*'GWPs &amp; Fuel EFs'!$M71</f>
        <v>17.684159884067999</v>
      </c>
      <c r="O20" s="111">
        <f>N20*'GWPs &amp; Fuel EFs'!$E$11</f>
        <v>5269.8796454522635</v>
      </c>
    </row>
    <row r="21" spans="1:15">
      <c r="A21" s="98"/>
      <c r="B21" s="98"/>
      <c r="D21" s="109" t="s">
        <v>394</v>
      </c>
      <c r="E21" s="110" t="s">
        <v>75</v>
      </c>
      <c r="F21" s="108">
        <f>'EIA Form 923'!T2100-'EIA Form 923'!W2100</f>
        <v>0</v>
      </c>
      <c r="G21" s="108">
        <f>'EIA Form 923'!T2100</f>
        <v>0</v>
      </c>
      <c r="I21" s="111">
        <f>F21*'GWPs &amp; Fuel EFs'!$N16</f>
        <v>0</v>
      </c>
      <c r="K21" s="111">
        <f>G21*'GWPs &amp; Fuel EFs'!$M44</f>
        <v>0</v>
      </c>
      <c r="L21" s="111">
        <f>K21*'GWPs &amp; Fuel EFs'!$D$11</f>
        <v>0</v>
      </c>
      <c r="N21" s="111">
        <f>G21*'GWPs &amp; Fuel EFs'!$M72</f>
        <v>0</v>
      </c>
      <c r="O21" s="111">
        <f>N21*'GWPs &amp; Fuel EFs'!$E$11</f>
        <v>0</v>
      </c>
    </row>
    <row r="22" spans="1:15">
      <c r="A22" s="98"/>
      <c r="B22" s="98"/>
      <c r="D22" s="109" t="s">
        <v>448</v>
      </c>
      <c r="E22" s="110" t="s">
        <v>439</v>
      </c>
      <c r="F22" s="108">
        <f>'EIA Form 923'!T2101-'EIA Form 923'!W2101</f>
        <v>0</v>
      </c>
      <c r="G22" s="108">
        <f>'EIA Form 923'!T2101</f>
        <v>0</v>
      </c>
      <c r="I22" s="111">
        <f>F22*'GWPs &amp; Fuel EFs'!$N17</f>
        <v>0</v>
      </c>
      <c r="K22" s="111">
        <f>G22*'GWPs &amp; Fuel EFs'!$M45</f>
        <v>0</v>
      </c>
      <c r="L22" s="111">
        <f>K22*'GWPs &amp; Fuel EFs'!$D$11</f>
        <v>0</v>
      </c>
      <c r="N22" s="111">
        <f>G22*'GWPs &amp; Fuel EFs'!$M73</f>
        <v>0</v>
      </c>
      <c r="O22" s="111">
        <f>N22*'GWPs &amp; Fuel EFs'!$E$11</f>
        <v>0</v>
      </c>
    </row>
    <row r="23" spans="1:15">
      <c r="A23" s="98"/>
      <c r="B23" s="98"/>
      <c r="D23" s="193" t="s">
        <v>3263</v>
      </c>
      <c r="E23" s="194" t="s">
        <v>3260</v>
      </c>
      <c r="F23" s="204">
        <f>'EIA Form 923'!U2265*'GWPs &amp; Fuel EFs'!$E$34</f>
        <v>0</v>
      </c>
      <c r="G23" s="204" t="s">
        <v>3266</v>
      </c>
      <c r="I23" s="114">
        <f>SUM(I10:I22)+F23</f>
        <v>4912070000.529952</v>
      </c>
      <c r="K23" s="111"/>
      <c r="L23" s="114">
        <f>SUM(L10:L22)</f>
        <v>34091162.819336809</v>
      </c>
      <c r="N23" s="111"/>
      <c r="O23" s="114">
        <f>SUM(O10:O22)</f>
        <v>51903450.560453683</v>
      </c>
    </row>
    <row r="24" spans="1:15" ht="13">
      <c r="A24" s="101" t="s">
        <v>226</v>
      </c>
      <c r="B24" s="97">
        <f>I33</f>
        <v>3457381521.3603506</v>
      </c>
      <c r="D24" s="90" t="s">
        <v>227</v>
      </c>
      <c r="F24" s="108"/>
      <c r="G24" s="108"/>
      <c r="I24" s="114"/>
      <c r="K24" s="111"/>
      <c r="L24" s="114"/>
      <c r="N24" s="111"/>
      <c r="O24" s="114"/>
    </row>
    <row r="25" spans="1:15">
      <c r="A25" s="98"/>
      <c r="B25" s="98"/>
      <c r="D25" s="112" t="s">
        <v>396</v>
      </c>
      <c r="E25" s="113" t="s">
        <v>65</v>
      </c>
      <c r="F25" s="108">
        <f>'EIA Form 923'!T2103-'EIA Form 923'!W2103</f>
        <v>1776150</v>
      </c>
      <c r="G25" s="108">
        <f>'EIA Form 923'!T2103</f>
        <v>1776150</v>
      </c>
      <c r="I25" s="111">
        <f>F25*'GWPs &amp; Fuel EFs'!$N20</f>
        <v>203892606.0913319</v>
      </c>
      <c r="K25" s="111">
        <f>G25*'GWPs &amp; Fuel EFs'!$M48</f>
        <v>12530.369492841601</v>
      </c>
      <c r="L25" s="111">
        <f>K25*'GWPs &amp; Fuel EFs'!$D$11</f>
        <v>313259.23732104001</v>
      </c>
      <c r="N25" s="111">
        <f>G25*'GWPs &amp; Fuel EFs'!$M76</f>
        <v>2466.9164939031898</v>
      </c>
      <c r="O25" s="111">
        <f>N25*'GWPs &amp; Fuel EFs'!$E$11</f>
        <v>735141.11518315051</v>
      </c>
    </row>
    <row r="26" spans="1:15">
      <c r="A26" s="98"/>
      <c r="B26" s="100"/>
      <c r="D26" s="112" t="s">
        <v>399</v>
      </c>
      <c r="E26" s="113" t="s">
        <v>18</v>
      </c>
      <c r="F26" s="108">
        <f>'EIA Form 923'!T2104-'EIA Form 923'!W2104</f>
        <v>13731440</v>
      </c>
      <c r="G26" s="108">
        <f>'EIA Form 923'!T2104</f>
        <v>13731440</v>
      </c>
      <c r="I26" s="111">
        <f>F26*'GWPs &amp; Fuel EFs'!$N21</f>
        <v>2874539640.0511484</v>
      </c>
      <c r="K26" s="111">
        <f>G26*'GWPs &amp; Fuel EFs'!$M49</f>
        <v>862361.89201534446</v>
      </c>
      <c r="L26" s="111">
        <f>K26*'GWPs &amp; Fuel EFs'!$D$11</f>
        <v>21559047.300383613</v>
      </c>
      <c r="N26" s="111">
        <f>G26*'GWPs &amp; Fuel EFs'!$M77</f>
        <v>114981.58560204595</v>
      </c>
      <c r="O26" s="111">
        <f>N26*'GWPs &amp; Fuel EFs'!$E$11</f>
        <v>34264512.509409696</v>
      </c>
    </row>
    <row r="27" spans="1:15">
      <c r="A27" s="98"/>
      <c r="B27" s="98"/>
      <c r="D27" s="112" t="s">
        <v>395</v>
      </c>
      <c r="E27" s="113" t="s">
        <v>159</v>
      </c>
      <c r="F27" s="108">
        <f>'EIA Form 923'!T2105-'EIA Form 923'!W2105</f>
        <v>0</v>
      </c>
      <c r="G27" s="108">
        <f>'EIA Form 923'!T2105</f>
        <v>0</v>
      </c>
      <c r="I27" s="111">
        <f>F27*'GWPs &amp; Fuel EFs'!$N22</f>
        <v>0</v>
      </c>
      <c r="K27" s="111">
        <f>G27*'GWPs &amp; Fuel EFs'!$M50</f>
        <v>0</v>
      </c>
      <c r="L27" s="111">
        <f>K27*'GWPs &amp; Fuel EFs'!$D$11</f>
        <v>0</v>
      </c>
      <c r="N27" s="111">
        <f>G27*'GWPs &amp; Fuel EFs'!$M78</f>
        <v>0</v>
      </c>
      <c r="O27" s="111">
        <f>N27*'GWPs &amp; Fuel EFs'!$E$11</f>
        <v>0</v>
      </c>
    </row>
    <row r="28" spans="1:15">
      <c r="A28" s="98"/>
      <c r="B28" s="98"/>
      <c r="D28" s="112" t="s">
        <v>404</v>
      </c>
      <c r="E28" s="113" t="s">
        <v>71</v>
      </c>
      <c r="F28" s="108">
        <f>'EIA Form 923'!T2106-'EIA Form 923'!W2106</f>
        <v>1832500</v>
      </c>
      <c r="G28" s="108">
        <f>'EIA Form 923'!T2106</f>
        <v>1832500</v>
      </c>
      <c r="I28" s="111">
        <f>F28*'GWPs &amp; Fuel EFs'!$N23</f>
        <v>378949275.21787</v>
      </c>
      <c r="K28" s="111">
        <f>G28*'GWPs &amp; Fuel EFs'!$M51</f>
        <v>29087.790848279998</v>
      </c>
      <c r="L28" s="111">
        <f>K28*'GWPs &amp; Fuel EFs'!$D$11</f>
        <v>727194.7712069999</v>
      </c>
      <c r="N28" s="111">
        <f>G28*'GWPs &amp; Fuel EFs'!$M79</f>
        <v>14543.895424139999</v>
      </c>
      <c r="O28" s="111">
        <f>N28*'GWPs &amp; Fuel EFs'!$E$11</f>
        <v>4334080.8363937195</v>
      </c>
    </row>
    <row r="29" spans="1:15">
      <c r="A29" s="98"/>
      <c r="B29" s="98"/>
      <c r="D29" s="112" t="s">
        <v>397</v>
      </c>
      <c r="E29" s="113" t="s">
        <v>160</v>
      </c>
      <c r="F29" s="108">
        <f>'EIA Form 923'!T2107-'EIA Form 923'!W2107</f>
        <v>0</v>
      </c>
      <c r="G29" s="108">
        <f>'EIA Form 923'!T2107</f>
        <v>0</v>
      </c>
      <c r="I29" s="111">
        <f>F29*'GWPs &amp; Fuel EFs'!$N24</f>
        <v>0</v>
      </c>
      <c r="K29" s="111">
        <f>G29*'GWPs &amp; Fuel EFs'!$M52</f>
        <v>0</v>
      </c>
      <c r="L29" s="111">
        <f>K29*'GWPs &amp; Fuel EFs'!$D$11</f>
        <v>0</v>
      </c>
      <c r="N29" s="111">
        <f>G29*'GWPs &amp; Fuel EFs'!$M80</f>
        <v>0</v>
      </c>
      <c r="O29" s="111">
        <f>N29*'GWPs &amp; Fuel EFs'!$E$11</f>
        <v>0</v>
      </c>
    </row>
    <row r="30" spans="1:15">
      <c r="A30" s="98"/>
      <c r="B30" s="98"/>
      <c r="D30" s="112" t="s">
        <v>450</v>
      </c>
      <c r="E30" s="113" t="s">
        <v>431</v>
      </c>
      <c r="F30" s="108">
        <f>'EIA Form 923'!T2108-'EIA Form 923'!W2108</f>
        <v>0</v>
      </c>
      <c r="G30" s="108">
        <f>'EIA Form 923'!T2108</f>
        <v>0</v>
      </c>
      <c r="I30" s="111">
        <f>F30*'GWPs &amp; Fuel EFs'!$N25</f>
        <v>0</v>
      </c>
      <c r="K30" s="111">
        <f>G30*'GWPs &amp; Fuel EFs'!$M53</f>
        <v>0</v>
      </c>
      <c r="L30" s="111">
        <f>K30*'GWPs &amp; Fuel EFs'!$D$11</f>
        <v>0</v>
      </c>
      <c r="N30" s="111">
        <f>G30*'GWPs &amp; Fuel EFs'!$M81</f>
        <v>0</v>
      </c>
      <c r="O30" s="111">
        <f>N30*'GWPs &amp; Fuel EFs'!$E$11</f>
        <v>0</v>
      </c>
    </row>
    <row r="31" spans="1:15">
      <c r="A31" s="98"/>
      <c r="B31" s="98"/>
      <c r="D31" s="112" t="s">
        <v>2657</v>
      </c>
      <c r="E31" s="113" t="s">
        <v>436</v>
      </c>
      <c r="F31" s="108">
        <f>'EIA Form 923'!T2109-'EIA Form 923'!W2109</f>
        <v>0</v>
      </c>
      <c r="G31" s="108">
        <f>'EIA Form 923'!T2109</f>
        <v>0</v>
      </c>
      <c r="I31" s="111">
        <f>F31*'GWPs &amp; Fuel EFs'!$N26</f>
        <v>0</v>
      </c>
      <c r="K31" s="111">
        <f>G31*'GWPs &amp; Fuel EFs'!$M54</f>
        <v>0</v>
      </c>
      <c r="L31" s="111">
        <f>K31*'GWPs &amp; Fuel EFs'!$D$11</f>
        <v>0</v>
      </c>
      <c r="N31" s="111">
        <f>G31*'GWPs &amp; Fuel EFs'!$M82</f>
        <v>0</v>
      </c>
      <c r="O31" s="111">
        <f>N31*'GWPs &amp; Fuel EFs'!$E$11</f>
        <v>0</v>
      </c>
    </row>
    <row r="32" spans="1:15">
      <c r="A32" s="98"/>
      <c r="B32" s="98"/>
      <c r="D32" s="112" t="s">
        <v>449</v>
      </c>
      <c r="E32" s="113" t="s">
        <v>70</v>
      </c>
      <c r="F32" s="108">
        <f>'EIA Form 923'!T2110-'EIA Form 923'!W2110</f>
        <v>0</v>
      </c>
      <c r="G32" s="108">
        <f>'EIA Form 923'!T2110</f>
        <v>0</v>
      </c>
      <c r="I32" s="111">
        <f>F32*'GWPs &amp; Fuel EFs'!$N27</f>
        <v>0</v>
      </c>
      <c r="K32" s="111">
        <f>G32*'GWPs &amp; Fuel EFs'!$M55</f>
        <v>0</v>
      </c>
      <c r="L32" s="111">
        <f>K32*'GWPs &amp; Fuel EFs'!$D$11</f>
        <v>0</v>
      </c>
      <c r="N32" s="111">
        <f>G32*'GWPs &amp; Fuel EFs'!$M83</f>
        <v>0</v>
      </c>
      <c r="O32" s="111">
        <f>N32*'GWPs &amp; Fuel EFs'!$E$11</f>
        <v>0</v>
      </c>
    </row>
    <row r="33" spans="1:15">
      <c r="A33" s="102"/>
      <c r="B33" s="103"/>
      <c r="I33" s="115">
        <f>SUM(I25:I32)</f>
        <v>3457381521.3603506</v>
      </c>
      <c r="L33" s="114">
        <f>SUM(L25:L32)</f>
        <v>22599501.308911655</v>
      </c>
      <c r="O33" s="114">
        <f>SUM(O25:O32)</f>
        <v>39333734.46098657</v>
      </c>
    </row>
    <row r="34" spans="1:15">
      <c r="A34" s="102"/>
      <c r="B34" s="103"/>
    </row>
    <row r="35" spans="1:15">
      <c r="A35" s="17"/>
      <c r="B35" s="17"/>
      <c r="D35" s="116"/>
      <c r="E35" s="116"/>
      <c r="F35" s="116"/>
      <c r="G35" s="116"/>
      <c r="I35" s="116"/>
      <c r="K35" s="116"/>
      <c r="L35" s="116"/>
      <c r="N35" s="116"/>
      <c r="O35" s="116"/>
    </row>
    <row r="36" spans="1:15" ht="13">
      <c r="A36" s="863" t="s">
        <v>1625</v>
      </c>
      <c r="B36" s="863"/>
      <c r="D36" s="136" t="s">
        <v>232</v>
      </c>
      <c r="E36" s="136"/>
      <c r="F36" s="136"/>
      <c r="G36" s="136"/>
      <c r="I36" s="105" t="s">
        <v>232</v>
      </c>
      <c r="K36" s="862" t="s">
        <v>232</v>
      </c>
      <c r="L36" s="862"/>
      <c r="N36" s="862" t="s">
        <v>232</v>
      </c>
      <c r="O36" s="862"/>
    </row>
    <row r="37" spans="1:15" ht="13">
      <c r="A37" s="863">
        <f>A7</f>
        <v>2019</v>
      </c>
      <c r="B37" s="863"/>
      <c r="C37" s="18"/>
      <c r="D37" s="136" t="s">
        <v>213</v>
      </c>
      <c r="E37" s="136"/>
      <c r="F37" s="136"/>
      <c r="G37" s="136"/>
      <c r="I37" s="105" t="s">
        <v>214</v>
      </c>
      <c r="K37" s="862" t="s">
        <v>215</v>
      </c>
      <c r="L37" s="862"/>
      <c r="N37" s="862" t="s">
        <v>216</v>
      </c>
      <c r="O37" s="862"/>
    </row>
    <row r="38" spans="1:15" s="13" customFormat="1" ht="35.5">
      <c r="A38" s="94"/>
      <c r="B38" s="95" t="s">
        <v>341</v>
      </c>
      <c r="D38" s="107" t="s">
        <v>217</v>
      </c>
      <c r="E38" s="107" t="s">
        <v>218</v>
      </c>
      <c r="F38" s="107" t="s">
        <v>2667</v>
      </c>
      <c r="G38" s="107" t="s">
        <v>2668</v>
      </c>
      <c r="H38" s="93"/>
      <c r="I38" s="92" t="s">
        <v>339</v>
      </c>
      <c r="J38" s="106"/>
      <c r="K38" s="90" t="s">
        <v>340</v>
      </c>
      <c r="L38" s="91" t="s">
        <v>341</v>
      </c>
      <c r="M38" s="106"/>
      <c r="N38" s="90" t="s">
        <v>342</v>
      </c>
      <c r="O38" s="91" t="s">
        <v>341</v>
      </c>
    </row>
    <row r="39" spans="1:15" ht="26.25" customHeight="1">
      <c r="A39" s="96" t="s">
        <v>220</v>
      </c>
      <c r="B39" s="97">
        <f>SUM(B40:B45)</f>
        <v>19574048110.053593</v>
      </c>
      <c r="C39" s="18"/>
      <c r="D39" s="90" t="s">
        <v>221</v>
      </c>
      <c r="E39" s="90"/>
      <c r="F39" s="107" t="s">
        <v>2669</v>
      </c>
      <c r="G39" s="107" t="s">
        <v>2670</v>
      </c>
      <c r="K39" s="106"/>
      <c r="L39" s="106"/>
      <c r="N39" s="106"/>
      <c r="O39" s="106"/>
    </row>
    <row r="40" spans="1:15">
      <c r="A40" s="98" t="s">
        <v>2671</v>
      </c>
      <c r="B40" s="99">
        <f>I53</f>
        <v>4083965162.5587187</v>
      </c>
      <c r="C40" s="18"/>
      <c r="D40" s="109" t="s">
        <v>400</v>
      </c>
      <c r="E40" s="110" t="s">
        <v>45</v>
      </c>
      <c r="F40" s="108">
        <f>'EIA Form 923'!T2114-'EIA Form 923'!W2114</f>
        <v>0</v>
      </c>
      <c r="G40" s="108">
        <f>'EIA Form 923'!T2114</f>
        <v>0</v>
      </c>
      <c r="I40" s="111">
        <f>F40*'GWPs &amp; Fuel EFs'!$N5</f>
        <v>0</v>
      </c>
      <c r="K40" s="111">
        <f>G40*'GWPs &amp; Fuel EFs'!$M33</f>
        <v>0</v>
      </c>
      <c r="L40" s="111">
        <f>K40*'GWPs &amp; Fuel EFs'!$D$11</f>
        <v>0</v>
      </c>
      <c r="N40" s="111">
        <f>G40*'GWPs &amp; Fuel EFs'!$M61</f>
        <v>0</v>
      </c>
      <c r="O40" s="111">
        <f>N40*'GWPs &amp; Fuel EFs'!$E$11</f>
        <v>0</v>
      </c>
    </row>
    <row r="41" spans="1:15">
      <c r="A41" s="98" t="s">
        <v>2672</v>
      </c>
      <c r="B41" s="100">
        <f>'EPA Part 75'!I356*2000</f>
        <v>15380564159.999996</v>
      </c>
      <c r="C41" s="18"/>
      <c r="D41" s="109" t="s">
        <v>401</v>
      </c>
      <c r="E41" s="110" t="s">
        <v>50</v>
      </c>
      <c r="F41" s="108">
        <f>'EIA Form 923'!T2115-'EIA Form 923'!W2115</f>
        <v>0</v>
      </c>
      <c r="G41" s="108">
        <f>'EIA Form 923'!T2115</f>
        <v>866911</v>
      </c>
      <c r="I41" s="111">
        <f>F41*'GWPs &amp; Fuel EFs'!$N6</f>
        <v>0</v>
      </c>
      <c r="K41" s="111">
        <f>G41*'GWPs &amp; Fuel EFs'!$M34</f>
        <v>21023.327601395016</v>
      </c>
      <c r="L41" s="111">
        <f>K41*'GWPs &amp; Fuel EFs'!$D$11</f>
        <v>525583.19003487541</v>
      </c>
      <c r="N41" s="111">
        <f>G41*'GWPs &amp; Fuel EFs'!$M62</f>
        <v>3057.938560202912</v>
      </c>
      <c r="O41" s="111">
        <f>N41*'GWPs &amp; Fuel EFs'!$E$11</f>
        <v>911265.69094046776</v>
      </c>
    </row>
    <row r="42" spans="1:15">
      <c r="A42" s="98" t="s">
        <v>222</v>
      </c>
      <c r="B42" s="99">
        <f>L53</f>
        <v>26322302.304441296</v>
      </c>
      <c r="C42" s="18"/>
      <c r="D42" s="109" t="s">
        <v>389</v>
      </c>
      <c r="E42" s="110" t="s">
        <v>48</v>
      </c>
      <c r="F42" s="108">
        <f>'EIA Form 923'!T2116-'EIA Form 923'!W2116</f>
        <v>95519</v>
      </c>
      <c r="G42" s="108">
        <f>'EIA Form 923'!T2116</f>
        <v>175835</v>
      </c>
      <c r="I42" s="111">
        <f>F42*'GWPs &amp; Fuel EFs'!$N7</f>
        <v>15406259.433584798</v>
      </c>
      <c r="K42" s="111">
        <f>G42*'GWPs &amp; Fuel EFs'!$M35</f>
        <v>1162.9494551631001</v>
      </c>
      <c r="L42" s="111">
        <f>K42*'GWPs &amp; Fuel EFs'!$D$11</f>
        <v>29073.736379077502</v>
      </c>
      <c r="N42" s="111">
        <f>G42*'GWPs &amp; Fuel EFs'!$M63</f>
        <v>232.58989103261996</v>
      </c>
      <c r="O42" s="111">
        <f>N42*'GWPs &amp; Fuel EFs'!$E$11</f>
        <v>69311.787527720749</v>
      </c>
    </row>
    <row r="43" spans="1:15">
      <c r="A43" s="98" t="s">
        <v>223</v>
      </c>
      <c r="B43" s="99">
        <f>O53</f>
        <v>38796344.05602669</v>
      </c>
      <c r="C43" s="18"/>
      <c r="D43" s="109" t="s">
        <v>388</v>
      </c>
      <c r="E43" s="110" t="s">
        <v>41</v>
      </c>
      <c r="F43" s="108">
        <f>'EIA Form 923'!T2117-'EIA Form 923'!W2117</f>
        <v>14415169</v>
      </c>
      <c r="G43" s="108">
        <f>'EIA Form 923'!T2117</f>
        <v>144790857</v>
      </c>
      <c r="I43" s="111">
        <f>F43*'GWPs &amp; Fuel EFs'!$N8</f>
        <v>1686563001.5729945</v>
      </c>
      <c r="K43" s="111">
        <f>G43*'GWPs &amp; Fuel EFs'!$M36</f>
        <v>319209.19851138536</v>
      </c>
      <c r="L43" s="111">
        <f>K43*'GWPs &amp; Fuel EFs'!$D$11</f>
        <v>7980229.962784634</v>
      </c>
      <c r="N43" s="111">
        <f>G43*'GWPs &amp; Fuel EFs'!$M64</f>
        <v>31920.919851138533</v>
      </c>
      <c r="O43" s="111">
        <f>N43*'GWPs &amp; Fuel EFs'!$E$11</f>
        <v>9512434.1156392824</v>
      </c>
    </row>
    <row r="44" spans="1:15">
      <c r="A44" s="98" t="s">
        <v>224</v>
      </c>
      <c r="B44" s="99">
        <f>L63</f>
        <v>15024683.821321964</v>
      </c>
      <c r="C44" s="18"/>
      <c r="D44" s="109" t="s">
        <v>402</v>
      </c>
      <c r="E44" s="110" t="s">
        <v>19</v>
      </c>
      <c r="F44" s="108">
        <f>'EIA Form 923'!T2118-'EIA Form 923'!W2118</f>
        <v>10707720</v>
      </c>
      <c r="G44" s="108">
        <f>'EIA Form 923'!T2118</f>
        <v>10707720</v>
      </c>
      <c r="I44" s="111">
        <f>F44*'GWPs &amp; Fuel EFs'!$N9</f>
        <v>2169699835.4553356</v>
      </c>
      <c r="K44" s="111">
        <f>G44*'GWPs &amp; Fuel EFs'!$M37</f>
        <v>709825.46416205075</v>
      </c>
      <c r="L44" s="111">
        <f>K44*'GWPs &amp; Fuel EFs'!$D$11</f>
        <v>17745636.60405127</v>
      </c>
      <c r="N44" s="111">
        <f>G44*'GWPs &amp; Fuel EFs'!$M65</f>
        <v>94643.395221606799</v>
      </c>
      <c r="O44" s="111">
        <f>N44*'GWPs &amp; Fuel EFs'!$E$11</f>
        <v>28203731.776038826</v>
      </c>
    </row>
    <row r="45" spans="1:15">
      <c r="A45" s="98" t="s">
        <v>225</v>
      </c>
      <c r="B45" s="99">
        <f>O63</f>
        <v>29375457.313088305</v>
      </c>
      <c r="C45" s="18"/>
      <c r="D45" s="109" t="s">
        <v>403</v>
      </c>
      <c r="E45" s="110" t="s">
        <v>84</v>
      </c>
      <c r="F45" s="108">
        <f>'EIA Form 923'!T2119-'EIA Form 923'!W2119</f>
        <v>0</v>
      </c>
      <c r="G45" s="108">
        <f>'EIA Form 923'!T2119</f>
        <v>0</v>
      </c>
      <c r="I45" s="111">
        <f>F45*'GWPs &amp; Fuel EFs'!$N10</f>
        <v>0</v>
      </c>
      <c r="K45" s="111">
        <f>G45*'GWPs &amp; Fuel EFs'!$M38</f>
        <v>0</v>
      </c>
      <c r="L45" s="111">
        <f>K45*'GWPs &amp; Fuel EFs'!$D$11</f>
        <v>0</v>
      </c>
      <c r="N45" s="111">
        <f>G45*'GWPs &amp; Fuel EFs'!$M66</f>
        <v>0</v>
      </c>
      <c r="O45" s="111">
        <f>N45*'GWPs &amp; Fuel EFs'!$E$11</f>
        <v>0</v>
      </c>
    </row>
    <row r="46" spans="1:15">
      <c r="A46" s="98"/>
      <c r="B46" s="98"/>
      <c r="C46" s="18"/>
      <c r="D46" s="109" t="s">
        <v>398</v>
      </c>
      <c r="E46" s="110" t="s">
        <v>410</v>
      </c>
      <c r="F46" s="108">
        <f>'EIA Form 923'!T2120-'EIA Form 923'!W2120</f>
        <v>0</v>
      </c>
      <c r="G46" s="108">
        <f>'EIA Form 923'!T2120</f>
        <v>0</v>
      </c>
      <c r="I46" s="111">
        <f>F46*'GWPs &amp; Fuel EFs'!$N11</f>
        <v>0</v>
      </c>
      <c r="K46" s="111">
        <f>G46*'GWPs &amp; Fuel EFs'!$M39</f>
        <v>0</v>
      </c>
      <c r="L46" s="111">
        <f>K46*'GWPs &amp; Fuel EFs'!$D$11</f>
        <v>0</v>
      </c>
      <c r="N46" s="111">
        <f>G46*'GWPs &amp; Fuel EFs'!$M67</f>
        <v>0</v>
      </c>
      <c r="O46" s="111">
        <f>N46*'GWPs &amp; Fuel EFs'!$E$11</f>
        <v>0</v>
      </c>
    </row>
    <row r="47" spans="1:15">
      <c r="A47" s="98"/>
      <c r="B47" s="98"/>
      <c r="C47" s="18"/>
      <c r="D47" s="109" t="s">
        <v>391</v>
      </c>
      <c r="E47" s="110" t="s">
        <v>67</v>
      </c>
      <c r="F47" s="108">
        <f>'EIA Form 923'!T2121-'EIA Form 923'!W2121</f>
        <v>0</v>
      </c>
      <c r="G47" s="108">
        <f>'EIA Form 923'!T2121</f>
        <v>0</v>
      </c>
      <c r="I47" s="111">
        <f>F47*'GWPs &amp; Fuel EFs'!$N12</f>
        <v>0</v>
      </c>
      <c r="K47" s="111">
        <f>G47*'GWPs &amp; Fuel EFs'!$M40</f>
        <v>0</v>
      </c>
      <c r="L47" s="111">
        <f>K47*'GWPs &amp; Fuel EFs'!$D$11</f>
        <v>0</v>
      </c>
      <c r="N47" s="111">
        <f>G47*'GWPs &amp; Fuel EFs'!$M68</f>
        <v>0</v>
      </c>
      <c r="O47" s="111">
        <f>N47*'GWPs &amp; Fuel EFs'!$E$11</f>
        <v>0</v>
      </c>
    </row>
    <row r="48" spans="1:15">
      <c r="A48" s="98"/>
      <c r="B48" s="98"/>
      <c r="C48" s="18"/>
      <c r="D48" s="109" t="s">
        <v>390</v>
      </c>
      <c r="E48" s="110" t="s">
        <v>63</v>
      </c>
      <c r="F48" s="108">
        <f>'EIA Form 923'!T2122-'EIA Form 923'!W2122</f>
        <v>0</v>
      </c>
      <c r="G48" s="108">
        <f>'EIA Form 923'!T2122</f>
        <v>103254</v>
      </c>
      <c r="I48" s="111">
        <f>F48*'GWPs &amp; Fuel EFs'!$N13</f>
        <v>0</v>
      </c>
      <c r="K48" s="111">
        <f>G48*'GWPs &amp; Fuel EFs'!$M41</f>
        <v>682.90831201643994</v>
      </c>
      <c r="L48" s="111">
        <f>K48*'GWPs &amp; Fuel EFs'!$D$11</f>
        <v>17072.707800410997</v>
      </c>
      <c r="N48" s="111">
        <f>G48*'GWPs &amp; Fuel EFs'!$M69</f>
        <v>136.58166240328799</v>
      </c>
      <c r="O48" s="111">
        <f>N48*'GWPs &amp; Fuel EFs'!$E$11</f>
        <v>40701.33539617982</v>
      </c>
    </row>
    <row r="49" spans="1:15">
      <c r="A49" s="98"/>
      <c r="B49" s="98"/>
      <c r="C49" s="18"/>
      <c r="D49" s="109" t="s">
        <v>392</v>
      </c>
      <c r="E49" s="110" t="s">
        <v>68</v>
      </c>
      <c r="F49" s="108">
        <f>'EIA Form 923'!T2123-'EIA Form 923'!W2123</f>
        <v>4182</v>
      </c>
      <c r="G49" s="108">
        <f>'EIA Form 923'!T2123</f>
        <v>4182</v>
      </c>
      <c r="I49" s="111">
        <f>F49*'GWPs &amp; Fuel EFs'!$N14</f>
        <v>653678.20755599998</v>
      </c>
      <c r="K49" s="111">
        <f>G49*'GWPs &amp; Fuel EFs'!$M42</f>
        <v>27.659195390520001</v>
      </c>
      <c r="L49" s="111">
        <f>K49*'GWPs &amp; Fuel EFs'!$D$11</f>
        <v>691.47988476299997</v>
      </c>
      <c r="N49" s="111">
        <f>G49*'GWPs &amp; Fuel EFs'!$M70</f>
        <v>5.5318390781039994</v>
      </c>
      <c r="O49" s="111">
        <f>N49*'GWPs &amp; Fuel EFs'!$E$11</f>
        <v>1648.4880452749919</v>
      </c>
    </row>
    <row r="50" spans="1:15">
      <c r="A50" s="98"/>
      <c r="B50" s="98"/>
      <c r="C50" s="18"/>
      <c r="D50" s="109" t="s">
        <v>393</v>
      </c>
      <c r="E50" s="110" t="s">
        <v>78</v>
      </c>
      <c r="F50" s="108">
        <f>'EIA Form 923'!T2124-'EIA Form 923'!W2124</f>
        <v>76048</v>
      </c>
      <c r="G50" s="108">
        <f>'EIA Form 923'!T2124</f>
        <v>145238</v>
      </c>
      <c r="I50" s="111">
        <f>F50*'GWPs &amp; Fuel EFs'!$N15</f>
        <v>12121596.889247997</v>
      </c>
      <c r="K50" s="111">
        <f>G50*'GWPs &amp; Fuel EFs'!$M43</f>
        <v>960.58494025068001</v>
      </c>
      <c r="L50" s="111">
        <f>K50*'GWPs &amp; Fuel EFs'!$D$11</f>
        <v>24014.623506266998</v>
      </c>
      <c r="N50" s="111">
        <f>G50*'GWPs &amp; Fuel EFs'!$M71</f>
        <v>192.11698805013597</v>
      </c>
      <c r="O50" s="111">
        <f>N50*'GWPs &amp; Fuel EFs'!$E$11</f>
        <v>57250.862438940523</v>
      </c>
    </row>
    <row r="51" spans="1:15">
      <c r="A51" s="98"/>
      <c r="B51" s="98"/>
      <c r="C51" s="18"/>
      <c r="D51" s="109" t="s">
        <v>394</v>
      </c>
      <c r="E51" s="110" t="s">
        <v>75</v>
      </c>
      <c r="F51" s="108">
        <f>'EIA Form 923'!T2125-'EIA Form 923'!W2125</f>
        <v>0</v>
      </c>
      <c r="G51" s="108">
        <f>'EIA Form 923'!T2125</f>
        <v>0</v>
      </c>
      <c r="I51" s="111">
        <f>F51*'GWPs &amp; Fuel EFs'!$N16</f>
        <v>0</v>
      </c>
      <c r="K51" s="111">
        <f>G51*'GWPs &amp; Fuel EFs'!$M44</f>
        <v>0</v>
      </c>
      <c r="L51" s="111">
        <f>K51*'GWPs &amp; Fuel EFs'!$D$11</f>
        <v>0</v>
      </c>
      <c r="N51" s="111">
        <f>G51*'GWPs &amp; Fuel EFs'!$M72</f>
        <v>0</v>
      </c>
      <c r="O51" s="111">
        <f>N51*'GWPs &amp; Fuel EFs'!$E$11</f>
        <v>0</v>
      </c>
    </row>
    <row r="52" spans="1:15">
      <c r="A52" s="98"/>
      <c r="B52" s="98"/>
      <c r="C52" s="18"/>
      <c r="D52" s="109" t="s">
        <v>448</v>
      </c>
      <c r="E52" s="110" t="s">
        <v>439</v>
      </c>
      <c r="F52" s="108">
        <f>'EIA Form 923'!T2126-'EIA Form 923'!W2126</f>
        <v>0</v>
      </c>
      <c r="G52" s="108">
        <f>'EIA Form 923'!T2126</f>
        <v>0</v>
      </c>
      <c r="I52" s="111">
        <f>F52*'GWPs &amp; Fuel EFs'!$N17</f>
        <v>0</v>
      </c>
      <c r="K52" s="111">
        <f>G52*'GWPs &amp; Fuel EFs'!$M45</f>
        <v>0</v>
      </c>
      <c r="L52" s="111">
        <f>K52*'GWPs &amp; Fuel EFs'!$D$11</f>
        <v>0</v>
      </c>
      <c r="N52" s="111">
        <f>G52*'GWPs &amp; Fuel EFs'!$M73</f>
        <v>0</v>
      </c>
      <c r="O52" s="111">
        <f>N52*'GWPs &amp; Fuel EFs'!$E$11</f>
        <v>0</v>
      </c>
    </row>
    <row r="53" spans="1:15">
      <c r="A53" s="98"/>
      <c r="B53" s="98"/>
      <c r="C53" s="18"/>
      <c r="D53" s="193" t="s">
        <v>3263</v>
      </c>
      <c r="E53" s="194" t="s">
        <v>3260</v>
      </c>
      <c r="F53" s="204">
        <f>'EIA Form 923'!U2266*'GWPs &amp; Fuel EFs'!$E$34</f>
        <v>199520791</v>
      </c>
      <c r="G53" s="204" t="s">
        <v>3266</v>
      </c>
      <c r="I53" s="114">
        <f>SUM(I40:I52)+F53</f>
        <v>4083965162.5587187</v>
      </c>
      <c r="K53" s="111"/>
      <c r="L53" s="114">
        <f>SUM(L40:L52)</f>
        <v>26322302.304441296</v>
      </c>
      <c r="N53" s="111"/>
      <c r="O53" s="114">
        <f>SUM(O40:O52)</f>
        <v>38796344.05602669</v>
      </c>
    </row>
    <row r="54" spans="1:15" ht="13">
      <c r="A54" s="101" t="s">
        <v>226</v>
      </c>
      <c r="B54" s="97">
        <f>I63</f>
        <v>2498769053.4494057</v>
      </c>
      <c r="C54" s="18"/>
      <c r="D54" s="90" t="s">
        <v>227</v>
      </c>
      <c r="F54" s="108"/>
      <c r="G54" s="108"/>
      <c r="I54" s="114"/>
      <c r="K54" s="111"/>
      <c r="L54" s="114"/>
      <c r="N54" s="111"/>
      <c r="O54" s="114"/>
    </row>
    <row r="55" spans="1:15">
      <c r="A55" s="98"/>
      <c r="B55" s="100"/>
      <c r="C55" s="18"/>
      <c r="D55" s="112" t="s">
        <v>396</v>
      </c>
      <c r="E55" s="113" t="s">
        <v>65</v>
      </c>
      <c r="F55" s="108">
        <f>'EIA Form 923'!T2128-'EIA Form 923'!W2128</f>
        <v>88406</v>
      </c>
      <c r="G55" s="108">
        <f>'EIA Form 923'!T2128</f>
        <v>88406</v>
      </c>
      <c r="I55" s="111">
        <f>F55*'GWPs &amp; Fuel EFs'!$N20</f>
        <v>10148540.2325875</v>
      </c>
      <c r="K55" s="111">
        <f>G55*'GWPs &amp; Fuel EFs'!$M48</f>
        <v>623.68597549990398</v>
      </c>
      <c r="L55" s="111">
        <f>K55*'GWPs &amp; Fuel EFs'!$D$11</f>
        <v>15592.149387497599</v>
      </c>
      <c r="N55" s="111">
        <f>G55*'GWPs &amp; Fuel EFs'!$M76</f>
        <v>122.78817642654359</v>
      </c>
      <c r="O55" s="111">
        <f>N55*'GWPs &amp; Fuel EFs'!$E$11</f>
        <v>36590.876575109985</v>
      </c>
    </row>
    <row r="56" spans="1:15">
      <c r="A56" s="98"/>
      <c r="B56" s="100"/>
      <c r="C56" s="18"/>
      <c r="D56" s="112" t="s">
        <v>399</v>
      </c>
      <c r="E56" s="113" t="s">
        <v>18</v>
      </c>
      <c r="F56" s="108">
        <f>'EIA Form 923'!T2129-'EIA Form 923'!W2129</f>
        <v>8760813</v>
      </c>
      <c r="G56" s="108">
        <f>'EIA Form 923'!T2129</f>
        <v>8760813</v>
      </c>
      <c r="I56" s="111">
        <f>F56*'GWPs &amp; Fuel EFs'!$N21</f>
        <v>1833988587.3277254</v>
      </c>
      <c r="K56" s="111">
        <f>G56*'GWPs &amp; Fuel EFs'!$M49</f>
        <v>550196.57619831758</v>
      </c>
      <c r="L56" s="111">
        <f>K56*'GWPs &amp; Fuel EFs'!$D$11</f>
        <v>13754914.404957939</v>
      </c>
      <c r="N56" s="111">
        <f>G56*'GWPs &amp; Fuel EFs'!$M77</f>
        <v>73359.543493109013</v>
      </c>
      <c r="O56" s="111">
        <f>N56*'GWPs &amp; Fuel EFs'!$E$11</f>
        <v>21861143.960946485</v>
      </c>
    </row>
    <row r="57" spans="1:15">
      <c r="A57" s="98"/>
      <c r="B57" s="98"/>
      <c r="C57" s="18"/>
      <c r="D57" s="112" t="s">
        <v>395</v>
      </c>
      <c r="E57" s="113" t="s">
        <v>159</v>
      </c>
      <c r="F57" s="108">
        <f>'EIA Form 923'!T2130-'EIA Form 923'!W2130</f>
        <v>0</v>
      </c>
      <c r="G57" s="108">
        <f>'EIA Form 923'!T2130</f>
        <v>0</v>
      </c>
      <c r="I57" s="111">
        <f>F57*'GWPs &amp; Fuel EFs'!$N22</f>
        <v>0</v>
      </c>
      <c r="K57" s="111">
        <f>G57*'GWPs &amp; Fuel EFs'!$M50</f>
        <v>0</v>
      </c>
      <c r="L57" s="111">
        <f>K57*'GWPs &amp; Fuel EFs'!$D$11</f>
        <v>0</v>
      </c>
      <c r="N57" s="111">
        <f>G57*'GWPs &amp; Fuel EFs'!$M78</f>
        <v>0</v>
      </c>
      <c r="O57" s="111">
        <f>N57*'GWPs &amp; Fuel EFs'!$E$11</f>
        <v>0</v>
      </c>
    </row>
    <row r="58" spans="1:15">
      <c r="A58" s="98"/>
      <c r="B58" s="98"/>
      <c r="C58" s="18"/>
      <c r="D58" s="112" t="s">
        <v>404</v>
      </c>
      <c r="E58" s="113" t="s">
        <v>71</v>
      </c>
      <c r="F58" s="108">
        <f>'EIA Form 923'!T2131-'EIA Form 923'!W2131</f>
        <v>3156889</v>
      </c>
      <c r="G58" s="108">
        <f>'EIA Form 923'!T2131</f>
        <v>3156889</v>
      </c>
      <c r="I58" s="111">
        <f>F58*'GWPs &amp; Fuel EFs'!$N23</f>
        <v>652824446.65389705</v>
      </c>
      <c r="K58" s="111">
        <f>G58*'GWPs &amp; Fuel EFs'!$M51</f>
        <v>50110.192067250093</v>
      </c>
      <c r="L58" s="111">
        <f>K58*'GWPs &amp; Fuel EFs'!$D$11</f>
        <v>1252754.8016812524</v>
      </c>
      <c r="N58" s="111">
        <f>G58*'GWPs &amp; Fuel EFs'!$M79</f>
        <v>25055.096033625046</v>
      </c>
      <c r="O58" s="111">
        <f>N58*'GWPs &amp; Fuel EFs'!$E$11</f>
        <v>7466418.6180202635</v>
      </c>
    </row>
    <row r="59" spans="1:15">
      <c r="A59" s="98"/>
      <c r="B59" s="98"/>
      <c r="C59" s="18"/>
      <c r="D59" s="112" t="s">
        <v>397</v>
      </c>
      <c r="E59" s="113" t="s">
        <v>160</v>
      </c>
      <c r="F59" s="108">
        <f>'EIA Form 923'!T2132-'EIA Form 923'!W2132</f>
        <v>0</v>
      </c>
      <c r="G59" s="108">
        <f>'EIA Form 923'!T2132</f>
        <v>0</v>
      </c>
      <c r="I59" s="111">
        <f>F59*'GWPs &amp; Fuel EFs'!$N24</f>
        <v>0</v>
      </c>
      <c r="K59" s="111">
        <f>G59*'GWPs &amp; Fuel EFs'!$M52</f>
        <v>0</v>
      </c>
      <c r="L59" s="111">
        <f>K59*'GWPs &amp; Fuel EFs'!$D$11</f>
        <v>0</v>
      </c>
      <c r="N59" s="111">
        <f>G59*'GWPs &amp; Fuel EFs'!$M80</f>
        <v>0</v>
      </c>
      <c r="O59" s="111">
        <f>N59*'GWPs &amp; Fuel EFs'!$E$11</f>
        <v>0</v>
      </c>
    </row>
    <row r="60" spans="1:15">
      <c r="A60" s="98"/>
      <c r="B60" s="98"/>
      <c r="C60" s="18"/>
      <c r="D60" s="112" t="s">
        <v>450</v>
      </c>
      <c r="E60" s="113" t="s">
        <v>431</v>
      </c>
      <c r="F60" s="108">
        <f>'EIA Form 923'!T2133-'EIA Form 923'!W2133</f>
        <v>0</v>
      </c>
      <c r="G60" s="108">
        <f>'EIA Form 923'!T2133</f>
        <v>0</v>
      </c>
      <c r="I60" s="111">
        <f>F60*'GWPs &amp; Fuel EFs'!$N25</f>
        <v>0</v>
      </c>
      <c r="K60" s="111">
        <f>G60*'GWPs &amp; Fuel EFs'!$M53</f>
        <v>0</v>
      </c>
      <c r="L60" s="111">
        <f>K60*'GWPs &amp; Fuel EFs'!$D$11</f>
        <v>0</v>
      </c>
      <c r="N60" s="111">
        <f>G60*'GWPs &amp; Fuel EFs'!$M81</f>
        <v>0</v>
      </c>
      <c r="O60" s="111">
        <f>N60*'GWPs &amp; Fuel EFs'!$E$11</f>
        <v>0</v>
      </c>
    </row>
    <row r="61" spans="1:15">
      <c r="A61" s="98"/>
      <c r="B61" s="98"/>
      <c r="C61" s="18"/>
      <c r="D61" s="112" t="s">
        <v>2657</v>
      </c>
      <c r="E61" s="113" t="s">
        <v>436</v>
      </c>
      <c r="F61" s="108">
        <f>'EIA Form 923'!T2134-'EIA Form 923'!W2134</f>
        <v>9060</v>
      </c>
      <c r="G61" s="108">
        <f>'EIA Form 923'!T2134</f>
        <v>9060</v>
      </c>
      <c r="I61" s="111">
        <f>F61*'GWPs &amp; Fuel EFs'!$N26</f>
        <v>1807479.235195786</v>
      </c>
      <c r="K61" s="111">
        <f>G61*'GWPs &amp; Fuel EFs'!$M54</f>
        <v>56.898611810990118</v>
      </c>
      <c r="L61" s="111">
        <f>K61*'GWPs &amp; Fuel EFs'!$D$11</f>
        <v>1422.4652952747529</v>
      </c>
      <c r="N61" s="111">
        <f>G61*'GWPs &amp; Fuel EFs'!$M82</f>
        <v>37.932407873993412</v>
      </c>
      <c r="O61" s="111">
        <f>N61*'GWPs &amp; Fuel EFs'!$E$11</f>
        <v>11303.857546450037</v>
      </c>
    </row>
    <row r="62" spans="1:15" ht="13">
      <c r="A62" s="98"/>
      <c r="B62" s="98"/>
      <c r="C62" s="56"/>
      <c r="D62" s="112" t="s">
        <v>449</v>
      </c>
      <c r="E62" s="113" t="s">
        <v>70</v>
      </c>
      <c r="F62" s="108">
        <f>'EIA Form 923'!T2135-'EIA Form 923'!W2135</f>
        <v>0</v>
      </c>
      <c r="G62" s="108">
        <f>'EIA Form 923'!T2135</f>
        <v>0</v>
      </c>
      <c r="I62" s="111">
        <f>F62*'GWPs &amp; Fuel EFs'!$N27</f>
        <v>0</v>
      </c>
      <c r="K62" s="111">
        <f>G62*'GWPs &amp; Fuel EFs'!$M55</f>
        <v>0</v>
      </c>
      <c r="L62" s="111">
        <f>K62*'GWPs &amp; Fuel EFs'!$D$11</f>
        <v>0</v>
      </c>
      <c r="N62" s="111">
        <f>G62*'GWPs &amp; Fuel EFs'!$M83</f>
        <v>0</v>
      </c>
      <c r="O62" s="111">
        <f>N62*'GWPs &amp; Fuel EFs'!$E$11</f>
        <v>0</v>
      </c>
    </row>
    <row r="63" spans="1:15">
      <c r="A63" s="98"/>
      <c r="B63" s="99"/>
      <c r="C63" s="18"/>
      <c r="F63" s="108"/>
      <c r="G63" s="108"/>
      <c r="I63" s="115">
        <f>SUM(I55:I62)</f>
        <v>2498769053.4494057</v>
      </c>
      <c r="L63" s="114">
        <f>SUM(L55:L62)</f>
        <v>15024683.821321964</v>
      </c>
      <c r="O63" s="114">
        <f>SUM(O55:O62)</f>
        <v>29375457.313088305</v>
      </c>
    </row>
    <row r="64" spans="1:15">
      <c r="A64" s="98"/>
      <c r="B64" s="98"/>
      <c r="C64" s="18"/>
    </row>
    <row r="65" spans="1:15">
      <c r="A65" s="17"/>
      <c r="B65" s="17"/>
      <c r="D65" s="116"/>
      <c r="E65" s="116"/>
      <c r="F65" s="116"/>
      <c r="G65" s="116"/>
      <c r="I65" s="116"/>
      <c r="K65" s="116"/>
      <c r="L65" s="117"/>
      <c r="N65" s="116"/>
      <c r="O65" s="116"/>
    </row>
    <row r="66" spans="1:15" ht="13">
      <c r="A66" s="863" t="s">
        <v>1626</v>
      </c>
      <c r="B66" s="863"/>
      <c r="D66" s="862" t="s">
        <v>228</v>
      </c>
      <c r="E66" s="862"/>
      <c r="F66" s="862"/>
      <c r="G66" s="862"/>
      <c r="I66" s="105" t="s">
        <v>228</v>
      </c>
      <c r="K66" s="862" t="s">
        <v>228</v>
      </c>
      <c r="L66" s="862"/>
      <c r="N66" s="862" t="s">
        <v>228</v>
      </c>
      <c r="O66" s="862"/>
    </row>
    <row r="67" spans="1:15" ht="13">
      <c r="A67" s="863">
        <f>A7</f>
        <v>2019</v>
      </c>
      <c r="B67" s="863"/>
      <c r="D67" s="862" t="s">
        <v>213</v>
      </c>
      <c r="E67" s="862"/>
      <c r="F67" s="862"/>
      <c r="G67" s="862"/>
      <c r="I67" s="105" t="s">
        <v>214</v>
      </c>
      <c r="K67" s="862" t="s">
        <v>215</v>
      </c>
      <c r="L67" s="862"/>
      <c r="N67" s="862" t="s">
        <v>216</v>
      </c>
      <c r="O67" s="862"/>
    </row>
    <row r="68" spans="1:15" s="13" customFormat="1" ht="35.5">
      <c r="A68" s="94"/>
      <c r="B68" s="95" t="s">
        <v>341</v>
      </c>
      <c r="D68" s="107" t="s">
        <v>217</v>
      </c>
      <c r="E68" s="107" t="s">
        <v>218</v>
      </c>
      <c r="F68" s="107" t="s">
        <v>2667</v>
      </c>
      <c r="G68" s="107" t="s">
        <v>2668</v>
      </c>
      <c r="H68" s="93"/>
      <c r="I68" s="92" t="s">
        <v>339</v>
      </c>
      <c r="J68" s="106"/>
      <c r="K68" s="90" t="s">
        <v>340</v>
      </c>
      <c r="L68" s="91" t="s">
        <v>341</v>
      </c>
      <c r="M68" s="106"/>
      <c r="N68" s="90" t="s">
        <v>342</v>
      </c>
      <c r="O68" s="91" t="s">
        <v>341</v>
      </c>
    </row>
    <row r="69" spans="1:15" ht="27.75" customHeight="1">
      <c r="A69" s="96" t="s">
        <v>220</v>
      </c>
      <c r="B69" s="97">
        <f>SUM(B70:B75)</f>
        <v>1557961630.7539411</v>
      </c>
      <c r="D69" s="90" t="s">
        <v>221</v>
      </c>
      <c r="E69" s="106"/>
      <c r="F69" s="107" t="s">
        <v>2669</v>
      </c>
      <c r="G69" s="107" t="s">
        <v>2670</v>
      </c>
      <c r="K69" s="106"/>
      <c r="L69" s="106"/>
      <c r="N69" s="106"/>
      <c r="O69" s="106"/>
    </row>
    <row r="70" spans="1:15">
      <c r="A70" s="98" t="s">
        <v>2671</v>
      </c>
      <c r="B70" s="99">
        <f>I83</f>
        <v>406652452.40435994</v>
      </c>
      <c r="D70" s="109" t="s">
        <v>400</v>
      </c>
      <c r="E70" s="110" t="s">
        <v>45</v>
      </c>
      <c r="F70" s="108">
        <f>'EIA Form 923'!T2139-'EIA Form 923'!W2139</f>
        <v>325521</v>
      </c>
      <c r="G70" s="108">
        <f>'EIA Form 923'!T2139</f>
        <v>325521</v>
      </c>
      <c r="I70" s="111">
        <f>F70*'GWPs &amp; Fuel EFs'!$N5</f>
        <v>66956754.984965988</v>
      </c>
      <c r="K70" s="111">
        <f>G70*'GWPs &amp; Fuel EFs'!$M33</f>
        <v>7894.1605587352187</v>
      </c>
      <c r="L70" s="111">
        <f>K70*'GWPs &amp; Fuel EFs'!$D$11</f>
        <v>197354.01396838046</v>
      </c>
      <c r="N70" s="111">
        <f>G70*'GWPs &amp; Fuel EFs'!$M61</f>
        <v>1148.241535816032</v>
      </c>
      <c r="O70" s="111">
        <f>N70*'GWPs &amp; Fuel EFs'!$E$11</f>
        <v>342175.97767317755</v>
      </c>
    </row>
    <row r="71" spans="1:15">
      <c r="A71" s="98" t="s">
        <v>2672</v>
      </c>
      <c r="B71" s="100">
        <f>'EPA Part 75'!I358*2000</f>
        <v>1110960967.9999998</v>
      </c>
      <c r="D71" s="109" t="s">
        <v>401</v>
      </c>
      <c r="E71" s="110" t="s">
        <v>50</v>
      </c>
      <c r="F71" s="108">
        <f>'EIA Form 923'!T2140-'EIA Form 923'!W2140</f>
        <v>0</v>
      </c>
      <c r="G71" s="108">
        <f>'EIA Form 923'!T2140</f>
        <v>0</v>
      </c>
      <c r="I71" s="111">
        <f>F71*'GWPs &amp; Fuel EFs'!$N6</f>
        <v>0</v>
      </c>
      <c r="K71" s="111">
        <f>G71*'GWPs &amp; Fuel EFs'!$M34</f>
        <v>0</v>
      </c>
      <c r="L71" s="111">
        <f>K71*'GWPs &amp; Fuel EFs'!$D$11</f>
        <v>0</v>
      </c>
      <c r="N71" s="111">
        <f>G71*'GWPs &amp; Fuel EFs'!$M62</f>
        <v>0</v>
      </c>
      <c r="O71" s="111">
        <f>N71*'GWPs &amp; Fuel EFs'!$E$11</f>
        <v>0</v>
      </c>
    </row>
    <row r="72" spans="1:15">
      <c r="A72" s="98" t="s">
        <v>222</v>
      </c>
      <c r="B72" s="99">
        <f>L83</f>
        <v>3532171.5295514897</v>
      </c>
      <c r="D72" s="109" t="s">
        <v>389</v>
      </c>
      <c r="E72" s="110" t="s">
        <v>48</v>
      </c>
      <c r="F72" s="108">
        <f>'EIA Form 923'!T2141-'EIA Form 923'!W2141</f>
        <v>39087</v>
      </c>
      <c r="G72" s="108">
        <f>'EIA Form 923'!T2141</f>
        <v>44272</v>
      </c>
      <c r="I72" s="111">
        <f>F72*'GWPs &amp; Fuel EFs'!$N7</f>
        <v>6304342.1987303989</v>
      </c>
      <c r="K72" s="111">
        <f>G72*'GWPs &amp; Fuel EFs'!$M35</f>
        <v>292.80915789791999</v>
      </c>
      <c r="L72" s="111">
        <f>K72*'GWPs &amp; Fuel EFs'!$D$11</f>
        <v>7320.2289474479994</v>
      </c>
      <c r="N72" s="111">
        <f>G72*'GWPs &amp; Fuel EFs'!$M63</f>
        <v>58.561831579583995</v>
      </c>
      <c r="O72" s="111">
        <f>N72*'GWPs &amp; Fuel EFs'!$E$11</f>
        <v>17451.425810716031</v>
      </c>
    </row>
    <row r="73" spans="1:15">
      <c r="A73" s="98" t="s">
        <v>223</v>
      </c>
      <c r="B73" s="99">
        <f>O83</f>
        <v>5428737.8017787235</v>
      </c>
      <c r="D73" s="109" t="s">
        <v>388</v>
      </c>
      <c r="E73" s="110" t="s">
        <v>41</v>
      </c>
      <c r="F73" s="108">
        <f>'EIA Form 923'!T2142-'EIA Form 923'!W2142</f>
        <v>28682</v>
      </c>
      <c r="G73" s="108">
        <f>'EIA Form 923'!T2142</f>
        <v>9755304</v>
      </c>
      <c r="I73" s="111">
        <f>F73*'GWPs &amp; Fuel EFs'!$N8</f>
        <v>3355770.5782788</v>
      </c>
      <c r="K73" s="111">
        <f>G73*'GWPs &amp; Fuel EFs'!$M36</f>
        <v>21506.76386337648</v>
      </c>
      <c r="L73" s="111">
        <f>K73*'GWPs &amp; Fuel EFs'!$D$11</f>
        <v>537669.09658441204</v>
      </c>
      <c r="N73" s="111">
        <f>G73*'GWPs &amp; Fuel EFs'!$M64</f>
        <v>2150.6763863376482</v>
      </c>
      <c r="O73" s="111">
        <f>N73*'GWPs &amp; Fuel EFs'!$E$11</f>
        <v>640901.56312861911</v>
      </c>
    </row>
    <row r="74" spans="1:15">
      <c r="A74" s="98" t="s">
        <v>224</v>
      </c>
      <c r="B74" s="99">
        <f>L93</f>
        <v>5264237.8711920157</v>
      </c>
      <c r="D74" s="109" t="s">
        <v>402</v>
      </c>
      <c r="E74" s="110" t="s">
        <v>19</v>
      </c>
      <c r="F74" s="108">
        <f>'EIA Form 923'!T2143-'EIA Form 923'!W2143</f>
        <v>973695</v>
      </c>
      <c r="G74" s="108">
        <f>'EIA Form 923'!T2143</f>
        <v>973695</v>
      </c>
      <c r="I74" s="111">
        <f>F74*'GWPs &amp; Fuel EFs'!$N9</f>
        <v>197299320.61014697</v>
      </c>
      <c r="K74" s="111">
        <f>G74*'GWPs &amp; Fuel EFs'!$M37</f>
        <v>64547.215030582418</v>
      </c>
      <c r="L74" s="111">
        <f>K74*'GWPs &amp; Fuel EFs'!$D$11</f>
        <v>1613680.3757645604</v>
      </c>
      <c r="N74" s="111">
        <f>G74*'GWPs &amp; Fuel EFs'!$M65</f>
        <v>8606.2953374109929</v>
      </c>
      <c r="O74" s="111">
        <f>N74*'GWPs &amp; Fuel EFs'!$E$11</f>
        <v>2564676.0105484761</v>
      </c>
    </row>
    <row r="75" spans="1:15">
      <c r="A75" s="98" t="s">
        <v>225</v>
      </c>
      <c r="B75" s="99">
        <f>O93</f>
        <v>26123063.147058848</v>
      </c>
      <c r="D75" s="109" t="s">
        <v>403</v>
      </c>
      <c r="E75" s="110" t="s">
        <v>84</v>
      </c>
      <c r="F75" s="108">
        <f>'EIA Form 923'!T2144-'EIA Form 923'!W2144</f>
        <v>0</v>
      </c>
      <c r="G75" s="108">
        <f>'EIA Form 923'!T2144</f>
        <v>0</v>
      </c>
      <c r="I75" s="111">
        <f>F75*'GWPs &amp; Fuel EFs'!$N10</f>
        <v>0</v>
      </c>
      <c r="K75" s="111">
        <f>G75*'GWPs &amp; Fuel EFs'!$M38</f>
        <v>0</v>
      </c>
      <c r="L75" s="111">
        <f>K75*'GWPs &amp; Fuel EFs'!$D$11</f>
        <v>0</v>
      </c>
      <c r="N75" s="111">
        <f>G75*'GWPs &amp; Fuel EFs'!$M66</f>
        <v>0</v>
      </c>
      <c r="O75" s="111">
        <f>N75*'GWPs &amp; Fuel EFs'!$E$11</f>
        <v>0</v>
      </c>
    </row>
    <row r="76" spans="1:15">
      <c r="A76" s="98"/>
      <c r="B76" s="98"/>
      <c r="D76" s="109" t="s">
        <v>398</v>
      </c>
      <c r="E76" s="110" t="s">
        <v>410</v>
      </c>
      <c r="F76" s="108">
        <f>'EIA Form 923'!T2145-'EIA Form 923'!W2145</f>
        <v>650586</v>
      </c>
      <c r="G76" s="108">
        <f>'EIA Form 923'!T2145</f>
        <v>650586</v>
      </c>
      <c r="I76" s="111">
        <f>F76*'GWPs &amp; Fuel EFs'!$N11</f>
        <v>123306333.18230039</v>
      </c>
      <c r="K76" s="111">
        <f>G76*'GWPs &amp; Fuel EFs'!$M39</f>
        <v>45897.491579370238</v>
      </c>
      <c r="L76" s="111">
        <f>K76*'GWPs &amp; Fuel EFs'!$D$11</f>
        <v>1147437.2894842559</v>
      </c>
      <c r="N76" s="111">
        <f>G76*'GWPs &amp; Fuel EFs'!$M67</f>
        <v>6024.045769792343</v>
      </c>
      <c r="O76" s="111">
        <f>N76*'GWPs &amp; Fuel EFs'!$E$11</f>
        <v>1795165.6393981182</v>
      </c>
    </row>
    <row r="77" spans="1:15">
      <c r="A77" s="98"/>
      <c r="B77" s="98"/>
      <c r="D77" s="109" t="s">
        <v>391</v>
      </c>
      <c r="E77" s="110" t="s">
        <v>67</v>
      </c>
      <c r="F77" s="108">
        <f>'EIA Form 923'!T2146-'EIA Form 923'!W2146</f>
        <v>0</v>
      </c>
      <c r="G77" s="108">
        <f>'EIA Form 923'!T2146</f>
        <v>0</v>
      </c>
      <c r="I77" s="111">
        <f>F77*'GWPs &amp; Fuel EFs'!$N12</f>
        <v>0</v>
      </c>
      <c r="K77" s="111">
        <f>G77*'GWPs &amp; Fuel EFs'!$M40</f>
        <v>0</v>
      </c>
      <c r="L77" s="111">
        <f>K77*'GWPs &amp; Fuel EFs'!$D$11</f>
        <v>0</v>
      </c>
      <c r="N77" s="111">
        <f>G77*'GWPs &amp; Fuel EFs'!$M68</f>
        <v>0</v>
      </c>
      <c r="O77" s="111">
        <f>N77*'GWPs &amp; Fuel EFs'!$E$11</f>
        <v>0</v>
      </c>
    </row>
    <row r="78" spans="1:15">
      <c r="A78" s="98"/>
      <c r="B78" s="98"/>
      <c r="D78" s="109" t="s">
        <v>390</v>
      </c>
      <c r="E78" s="110" t="s">
        <v>63</v>
      </c>
      <c r="F78" s="108">
        <f>'EIA Form 923'!T2147-'EIA Form 923'!W2147</f>
        <v>53329</v>
      </c>
      <c r="G78" s="108">
        <f>'EIA Form 923'!T2147</f>
        <v>173239</v>
      </c>
      <c r="I78" s="111">
        <f>F78*'GWPs &amp; Fuel EFs'!$N13</f>
        <v>9263354.4806241989</v>
      </c>
      <c r="K78" s="111">
        <f>G78*'GWPs &amp; Fuel EFs'!$M41</f>
        <v>1145.7798541985401</v>
      </c>
      <c r="L78" s="111">
        <f>K78*'GWPs &amp; Fuel EFs'!$D$11</f>
        <v>28644.496354963503</v>
      </c>
      <c r="N78" s="111">
        <f>G78*'GWPs &amp; Fuel EFs'!$M69</f>
        <v>229.15597083970798</v>
      </c>
      <c r="O78" s="111">
        <f>N78*'GWPs &amp; Fuel EFs'!$E$11</f>
        <v>68288.479310232971</v>
      </c>
    </row>
    <row r="79" spans="1:15">
      <c r="A79" s="98"/>
      <c r="B79" s="98"/>
      <c r="D79" s="109" t="s">
        <v>392</v>
      </c>
      <c r="E79" s="110" t="s">
        <v>68</v>
      </c>
      <c r="F79" s="108">
        <f>'EIA Form 923'!T2148-'EIA Form 923'!W2148</f>
        <v>0</v>
      </c>
      <c r="G79" s="108">
        <f>'EIA Form 923'!T2148</f>
        <v>0</v>
      </c>
      <c r="I79" s="111">
        <f>F79*'GWPs &amp; Fuel EFs'!$N14</f>
        <v>0</v>
      </c>
      <c r="K79" s="111">
        <f>G79*'GWPs &amp; Fuel EFs'!$M42</f>
        <v>0</v>
      </c>
      <c r="L79" s="111">
        <f>K79*'GWPs &amp; Fuel EFs'!$D$11</f>
        <v>0</v>
      </c>
      <c r="N79" s="111">
        <f>G79*'GWPs &amp; Fuel EFs'!$M70</f>
        <v>0</v>
      </c>
      <c r="O79" s="111">
        <f>N79*'GWPs &amp; Fuel EFs'!$E$11</f>
        <v>0</v>
      </c>
    </row>
    <row r="80" spans="1:15">
      <c r="A80" s="98"/>
      <c r="B80" s="98"/>
      <c r="D80" s="109" t="s">
        <v>393</v>
      </c>
      <c r="E80" s="110" t="s">
        <v>78</v>
      </c>
      <c r="F80" s="108">
        <f>'EIA Form 923'!T2149-'EIA Form 923'!W2149</f>
        <v>0</v>
      </c>
      <c r="G80" s="108">
        <f>'EIA Form 923'!T2149</f>
        <v>0</v>
      </c>
      <c r="I80" s="111">
        <f>F80*'GWPs &amp; Fuel EFs'!$N15</f>
        <v>0</v>
      </c>
      <c r="K80" s="111">
        <f>G80*'GWPs &amp; Fuel EFs'!$M43</f>
        <v>0</v>
      </c>
      <c r="L80" s="111">
        <f>K80*'GWPs &amp; Fuel EFs'!$D$11</f>
        <v>0</v>
      </c>
      <c r="N80" s="111">
        <f>G80*'GWPs &amp; Fuel EFs'!$M71</f>
        <v>0</v>
      </c>
      <c r="O80" s="111">
        <f>N80*'GWPs &amp; Fuel EFs'!$E$11</f>
        <v>0</v>
      </c>
    </row>
    <row r="81" spans="1:15">
      <c r="A81" s="98"/>
      <c r="B81" s="98"/>
      <c r="D81" s="109" t="s">
        <v>394</v>
      </c>
      <c r="E81" s="110" t="s">
        <v>75</v>
      </c>
      <c r="F81" s="108">
        <f>'EIA Form 923'!T2150-'EIA Form 923'!W2150</f>
        <v>0</v>
      </c>
      <c r="G81" s="108">
        <f>'EIA Form 923'!T2150</f>
        <v>0</v>
      </c>
      <c r="I81" s="111">
        <f>F81*'GWPs &amp; Fuel EFs'!$N16</f>
        <v>0</v>
      </c>
      <c r="K81" s="111">
        <f>G81*'GWPs &amp; Fuel EFs'!$M44</f>
        <v>0</v>
      </c>
      <c r="L81" s="111">
        <f>K81*'GWPs &amp; Fuel EFs'!$D$11</f>
        <v>0</v>
      </c>
      <c r="N81" s="111">
        <f>G81*'GWPs &amp; Fuel EFs'!$M72</f>
        <v>0</v>
      </c>
      <c r="O81" s="111">
        <f>N81*'GWPs &amp; Fuel EFs'!$E$11</f>
        <v>0</v>
      </c>
    </row>
    <row r="82" spans="1:15">
      <c r="A82" s="98"/>
      <c r="B82" s="98"/>
      <c r="D82" s="109" t="s">
        <v>448</v>
      </c>
      <c r="E82" s="110" t="s">
        <v>439</v>
      </c>
      <c r="F82" s="108">
        <f>'EIA Form 923'!T2151-'EIA Form 923'!W2151</f>
        <v>1198</v>
      </c>
      <c r="G82" s="108">
        <f>'EIA Form 923'!T2151</f>
        <v>1198</v>
      </c>
      <c r="I82" s="111">
        <f>F82*'GWPs &amp; Fuel EFs'!$N17</f>
        <v>166576.3693132</v>
      </c>
      <c r="K82" s="111">
        <f>G82*'GWPs &amp; Fuel EFs'!$M45</f>
        <v>2.6411378987599998</v>
      </c>
      <c r="L82" s="111">
        <f>K82*'GWPs &amp; Fuel EFs'!$D$11</f>
        <v>66.028447469</v>
      </c>
      <c r="N82" s="111">
        <f>G82*'GWPs &amp; Fuel EFs'!$M73</f>
        <v>0.26411378987599998</v>
      </c>
      <c r="O82" s="111">
        <f>N82*'GWPs &amp; Fuel EFs'!$E$11</f>
        <v>78.705909383047995</v>
      </c>
    </row>
    <row r="83" spans="1:15">
      <c r="A83" s="98"/>
      <c r="B83" s="98"/>
      <c r="D83" s="109"/>
      <c r="F83" s="108"/>
      <c r="G83" s="108"/>
      <c r="I83" s="114">
        <f>SUM(I70:I82)</f>
        <v>406652452.40435994</v>
      </c>
      <c r="K83" s="111"/>
      <c r="L83" s="114">
        <f>SUM(L70:L82)</f>
        <v>3532171.5295514897</v>
      </c>
      <c r="N83" s="111"/>
      <c r="O83" s="114">
        <f>SUM(O70:O82)</f>
        <v>5428737.8017787235</v>
      </c>
    </row>
    <row r="84" spans="1:15" ht="13">
      <c r="A84" s="101" t="s">
        <v>226</v>
      </c>
      <c r="B84" s="97">
        <f>I93</f>
        <v>2443471764.7696018</v>
      </c>
      <c r="D84" s="90" t="s">
        <v>227</v>
      </c>
      <c r="F84" s="108"/>
      <c r="G84" s="108"/>
      <c r="I84" s="114"/>
      <c r="K84" s="111"/>
      <c r="L84" s="114"/>
      <c r="N84" s="111"/>
      <c r="O84" s="114"/>
    </row>
    <row r="85" spans="1:15">
      <c r="A85" s="98"/>
      <c r="B85" s="98"/>
      <c r="D85" s="112" t="s">
        <v>396</v>
      </c>
      <c r="E85" s="113" t="s">
        <v>65</v>
      </c>
      <c r="F85" s="108">
        <f>'EIA Form 923'!T2153-'EIA Form 923'!W2153</f>
        <v>331491</v>
      </c>
      <c r="G85" s="108">
        <f>'EIA Form 923'!T2153</f>
        <v>331491</v>
      </c>
      <c r="I85" s="111">
        <f>F85*'GWPs &amp; Fuel EFs'!$N20</f>
        <v>38053409.839158684</v>
      </c>
      <c r="K85" s="111">
        <f>G85*'GWPs &amp; Fuel EFs'!$M48</f>
        <v>2338.6001821645441</v>
      </c>
      <c r="L85" s="111">
        <f>K85*'GWPs &amp; Fuel EFs'!$D$11</f>
        <v>58465.004554113606</v>
      </c>
      <c r="N85" s="111">
        <f>G85*'GWPs &amp; Fuel EFs'!$M76</f>
        <v>460.41191086364455</v>
      </c>
      <c r="O85" s="111">
        <f>N85*'GWPs &amp; Fuel EFs'!$E$11</f>
        <v>137202.74943736609</v>
      </c>
    </row>
    <row r="86" spans="1:15">
      <c r="A86" s="98"/>
      <c r="B86" s="100"/>
      <c r="D86" s="112" t="s">
        <v>399</v>
      </c>
      <c r="E86" s="113" t="s">
        <v>18</v>
      </c>
      <c r="F86" s="108">
        <f>'EIA Form 923'!T2154-'EIA Form 923'!W2154</f>
        <v>796669</v>
      </c>
      <c r="G86" s="108">
        <f>'EIA Form 923'!T2154</f>
        <v>796669</v>
      </c>
      <c r="I86" s="111">
        <f>F86*'GWPs &amp; Fuel EFs'!$N21</f>
        <v>166774687.90599591</v>
      </c>
      <c r="K86" s="111">
        <f>G86*'GWPs &amp; Fuel EFs'!$M49</f>
        <v>50032.406371798766</v>
      </c>
      <c r="L86" s="111">
        <f>K86*'GWPs &amp; Fuel EFs'!$D$11</f>
        <v>1250810.1592949692</v>
      </c>
      <c r="N86" s="111">
        <f>G86*'GWPs &amp; Fuel EFs'!$M77</f>
        <v>6670.9875162398366</v>
      </c>
      <c r="O86" s="111">
        <f>N86*'GWPs &amp; Fuel EFs'!$E$11</f>
        <v>1987954.2798394712</v>
      </c>
    </row>
    <row r="87" spans="1:15">
      <c r="A87" s="98"/>
      <c r="B87" s="98"/>
      <c r="D87" s="112" t="s">
        <v>395</v>
      </c>
      <c r="E87" s="113" t="s">
        <v>159</v>
      </c>
      <c r="F87" s="108">
        <f>'EIA Form 923'!T2155-'EIA Form 923'!W2155</f>
        <v>1535438</v>
      </c>
      <c r="G87" s="108">
        <f>'EIA Form 923'!T2155</f>
        <v>1535438</v>
      </c>
      <c r="I87" s="111">
        <f>F87*'GWPs &amp; Fuel EFs'!$N22</f>
        <v>306321446.1291995</v>
      </c>
      <c r="K87" s="111">
        <f>G87*'GWPs &amp; Fuel EFs'!$M50</f>
        <v>9642.8576955676654</v>
      </c>
      <c r="L87" s="111">
        <f>K87*'GWPs &amp; Fuel EFs'!$D$11</f>
        <v>241071.44238919162</v>
      </c>
      <c r="N87" s="111">
        <f>G87*'GWPs &amp; Fuel EFs'!$M78</f>
        <v>6428.5717970451105</v>
      </c>
      <c r="O87" s="111">
        <f>N87*'GWPs &amp; Fuel EFs'!$E$11</f>
        <v>1915714.3955194429</v>
      </c>
    </row>
    <row r="88" spans="1:15">
      <c r="A88" s="98"/>
      <c r="B88" s="98"/>
      <c r="D88" s="112" t="s">
        <v>404</v>
      </c>
      <c r="E88" s="113" t="s">
        <v>71</v>
      </c>
      <c r="F88" s="108">
        <f>'EIA Form 923'!T2156-'EIA Form 923'!W2156</f>
        <v>9325431</v>
      </c>
      <c r="G88" s="108">
        <f>'EIA Form 923'!T2156</f>
        <v>9325431</v>
      </c>
      <c r="I88" s="111">
        <f>F88*'GWPs &amp; Fuel EFs'!$N23</f>
        <v>1928439464.4170568</v>
      </c>
      <c r="K88" s="111">
        <f>G88*'GWPs &amp; Fuel EFs'!$M51</f>
        <v>148025.20409171437</v>
      </c>
      <c r="L88" s="111">
        <f>K88*'GWPs &amp; Fuel EFs'!$D$11</f>
        <v>3700630.1022928595</v>
      </c>
      <c r="N88" s="111">
        <f>G88*'GWPs &amp; Fuel EFs'!$M79</f>
        <v>74012.602045857187</v>
      </c>
      <c r="O88" s="111">
        <f>N88*'GWPs &amp; Fuel EFs'!$E$11</f>
        <v>22055755.409665443</v>
      </c>
    </row>
    <row r="89" spans="1:15">
      <c r="A89" s="98"/>
      <c r="B89" s="98"/>
      <c r="D89" s="112" t="s">
        <v>397</v>
      </c>
      <c r="E89" s="113" t="s">
        <v>160</v>
      </c>
      <c r="F89" s="108">
        <f>'EIA Form 923'!T2157-'EIA Form 923'!W2157</f>
        <v>21674</v>
      </c>
      <c r="G89" s="108">
        <f>'EIA Form 923'!T2157</f>
        <v>21674</v>
      </c>
      <c r="I89" s="111">
        <f>F89*'GWPs &amp; Fuel EFs'!$N24</f>
        <v>3882756.4781907606</v>
      </c>
      <c r="K89" s="111">
        <f>G89*'GWPs &amp; Fuel EFs'!$M52</f>
        <v>530.44650643526188</v>
      </c>
      <c r="L89" s="111">
        <f>K89*'GWPs &amp; Fuel EFs'!$D$11</f>
        <v>13261.162660881548</v>
      </c>
      <c r="N89" s="111">
        <f>G89*'GWPs &amp; Fuel EFs'!$M80</f>
        <v>88.712458379614517</v>
      </c>
      <c r="O89" s="111">
        <f>N89*'GWPs &amp; Fuel EFs'!$E$11</f>
        <v>26436.312597125125</v>
      </c>
    </row>
    <row r="90" spans="1:15">
      <c r="A90" s="98"/>
      <c r="B90" s="98"/>
      <c r="D90" s="112" t="s">
        <v>450</v>
      </c>
      <c r="E90" s="113" t="s">
        <v>431</v>
      </c>
      <c r="F90" s="108">
        <f>'EIA Form 923'!T2158-'EIA Form 923'!W2158</f>
        <v>0</v>
      </c>
      <c r="G90" s="108">
        <f>'EIA Form 923'!T2158</f>
        <v>0</v>
      </c>
      <c r="I90" s="111">
        <f>F90*'GWPs &amp; Fuel EFs'!$N25</f>
        <v>0</v>
      </c>
      <c r="K90" s="111">
        <f>G90*'GWPs &amp; Fuel EFs'!$M53</f>
        <v>0</v>
      </c>
      <c r="L90" s="111">
        <f>K90*'GWPs &amp; Fuel EFs'!$D$11</f>
        <v>0</v>
      </c>
      <c r="N90" s="111">
        <f>G90*'GWPs &amp; Fuel EFs'!$M81</f>
        <v>0</v>
      </c>
      <c r="O90" s="111">
        <f>N90*'GWPs &amp; Fuel EFs'!$E$11</f>
        <v>0</v>
      </c>
    </row>
    <row r="91" spans="1:15">
      <c r="A91" s="98"/>
      <c r="B91" s="98"/>
      <c r="D91" s="112" t="s">
        <v>2657</v>
      </c>
      <c r="E91" s="113" t="s">
        <v>436</v>
      </c>
      <c r="F91" s="108">
        <f>'EIA Form 923'!T2159-'EIA Form 923'!W2159</f>
        <v>0</v>
      </c>
      <c r="G91" s="108">
        <f>'EIA Form 923'!T2159</f>
        <v>0</v>
      </c>
      <c r="I91" s="111">
        <f>F91*'GWPs &amp; Fuel EFs'!$N26</f>
        <v>0</v>
      </c>
      <c r="K91" s="111">
        <f>G91*'GWPs &amp; Fuel EFs'!$M54</f>
        <v>0</v>
      </c>
      <c r="L91" s="111">
        <f>K91*'GWPs &amp; Fuel EFs'!$D$11</f>
        <v>0</v>
      </c>
      <c r="N91" s="111">
        <f>G91*'GWPs &amp; Fuel EFs'!$M82</f>
        <v>0</v>
      </c>
      <c r="O91" s="111">
        <f>N91*'GWPs &amp; Fuel EFs'!$E$11</f>
        <v>0</v>
      </c>
    </row>
    <row r="92" spans="1:15">
      <c r="A92" s="98"/>
      <c r="B92" s="98"/>
      <c r="D92" s="112" t="s">
        <v>449</v>
      </c>
      <c r="E92" s="113" t="s">
        <v>70</v>
      </c>
      <c r="F92" s="108">
        <f>'EIA Form 923'!T2160-'EIA Form 923'!W2160</f>
        <v>0</v>
      </c>
      <c r="G92" s="108">
        <f>'EIA Form 923'!T2160</f>
        <v>0</v>
      </c>
      <c r="I92" s="111">
        <f>F92*'GWPs &amp; Fuel EFs'!$N27</f>
        <v>0</v>
      </c>
      <c r="K92" s="111">
        <f>G92*'GWPs &amp; Fuel EFs'!$M55</f>
        <v>0</v>
      </c>
      <c r="L92" s="111">
        <f>K92*'GWPs &amp; Fuel EFs'!$D$11</f>
        <v>0</v>
      </c>
      <c r="N92" s="111">
        <f>G92*'GWPs &amp; Fuel EFs'!$M83</f>
        <v>0</v>
      </c>
      <c r="O92" s="111">
        <f>N92*'GWPs &amp; Fuel EFs'!$E$11</f>
        <v>0</v>
      </c>
    </row>
    <row r="93" spans="1:15">
      <c r="A93" s="102"/>
      <c r="B93" s="103"/>
      <c r="F93" s="108"/>
      <c r="G93" s="108"/>
      <c r="I93" s="115">
        <f>SUM(I85:I92)</f>
        <v>2443471764.7696018</v>
      </c>
      <c r="L93" s="114">
        <f>SUM(L85:L92)</f>
        <v>5264237.8711920157</v>
      </c>
      <c r="O93" s="114">
        <f>SUM(O85:O92)</f>
        <v>26123063.147058848</v>
      </c>
    </row>
    <row r="94" spans="1:15">
      <c r="A94" s="98"/>
      <c r="B94" s="99"/>
    </row>
    <row r="95" spans="1:15">
      <c r="A95" s="17"/>
      <c r="B95" s="17"/>
      <c r="D95" s="116"/>
      <c r="E95" s="116"/>
      <c r="F95" s="116"/>
      <c r="G95" s="116"/>
      <c r="I95" s="116"/>
      <c r="K95" s="116"/>
      <c r="L95" s="116"/>
      <c r="N95" s="116"/>
      <c r="O95" s="116"/>
    </row>
    <row r="96" spans="1:15" ht="13">
      <c r="A96" s="863" t="s">
        <v>1627</v>
      </c>
      <c r="B96" s="863"/>
      <c r="D96" s="862" t="s">
        <v>229</v>
      </c>
      <c r="E96" s="862"/>
      <c r="F96" s="862"/>
      <c r="G96" s="862"/>
      <c r="I96" s="105" t="s">
        <v>229</v>
      </c>
      <c r="K96" s="862" t="s">
        <v>229</v>
      </c>
      <c r="L96" s="862"/>
      <c r="N96" s="862" t="s">
        <v>229</v>
      </c>
      <c r="O96" s="862"/>
    </row>
    <row r="97" spans="1:15" ht="13">
      <c r="A97" s="863">
        <f>A7</f>
        <v>2019</v>
      </c>
      <c r="B97" s="863"/>
      <c r="D97" s="862" t="s">
        <v>213</v>
      </c>
      <c r="E97" s="862"/>
      <c r="F97" s="862"/>
      <c r="G97" s="862"/>
      <c r="I97" s="105" t="s">
        <v>214</v>
      </c>
      <c r="K97" s="862" t="s">
        <v>215</v>
      </c>
      <c r="L97" s="862"/>
      <c r="N97" s="862" t="s">
        <v>216</v>
      </c>
      <c r="O97" s="862"/>
    </row>
    <row r="98" spans="1:15" s="13" customFormat="1" ht="35.5">
      <c r="A98" s="94"/>
      <c r="B98" s="95" t="s">
        <v>341</v>
      </c>
      <c r="D98" s="107" t="s">
        <v>217</v>
      </c>
      <c r="E98" s="107" t="s">
        <v>218</v>
      </c>
      <c r="F98" s="107" t="s">
        <v>2667</v>
      </c>
      <c r="G98" s="107" t="s">
        <v>2668</v>
      </c>
      <c r="H98" s="93"/>
      <c r="I98" s="92" t="s">
        <v>339</v>
      </c>
      <c r="J98" s="106"/>
      <c r="K98" s="90" t="s">
        <v>340</v>
      </c>
      <c r="L98" s="91" t="s">
        <v>341</v>
      </c>
      <c r="M98" s="106"/>
      <c r="N98" s="90" t="s">
        <v>342</v>
      </c>
      <c r="O98" s="91" t="s">
        <v>341</v>
      </c>
    </row>
    <row r="99" spans="1:15" ht="27.75" customHeight="1">
      <c r="A99" s="96" t="s">
        <v>220</v>
      </c>
      <c r="B99" s="97">
        <f>SUM(B100:B105)</f>
        <v>4236292014.6949716</v>
      </c>
      <c r="D99" s="90" t="s">
        <v>221</v>
      </c>
      <c r="E99" s="90"/>
      <c r="F99" s="107" t="s">
        <v>2669</v>
      </c>
      <c r="G99" s="107" t="s">
        <v>2670</v>
      </c>
      <c r="K99" s="106"/>
      <c r="L99" s="106"/>
      <c r="N99" s="106"/>
      <c r="O99" s="106"/>
    </row>
    <row r="100" spans="1:15">
      <c r="A100" s="98" t="s">
        <v>2671</v>
      </c>
      <c r="B100" s="99">
        <f>I113</f>
        <v>401959596.48222739</v>
      </c>
      <c r="D100" s="109" t="s">
        <v>400</v>
      </c>
      <c r="E100" s="110" t="s">
        <v>45</v>
      </c>
      <c r="F100" s="108">
        <f>'EIA Form 923'!T2164-'EIA Form 923'!W2164</f>
        <v>762054</v>
      </c>
      <c r="G100" s="108">
        <f>'EIA Form 923'!T2164</f>
        <v>4181927</v>
      </c>
      <c r="I100" s="111">
        <f>F100*'GWPs &amp; Fuel EFs'!$N5</f>
        <v>156747684.36848399</v>
      </c>
      <c r="K100" s="111">
        <f>G100*'GWPs &amp; Fuel EFs'!$M33</f>
        <v>101415.27945327613</v>
      </c>
      <c r="L100" s="111">
        <f>K100*'GWPs &amp; Fuel EFs'!$D$11</f>
        <v>2535381.9863319034</v>
      </c>
      <c r="N100" s="111">
        <f>G100*'GWPs &amp; Fuel EFs'!$M61</f>
        <v>14751.313375021984</v>
      </c>
      <c r="O100" s="111">
        <f>N100*'GWPs &amp; Fuel EFs'!$E$11</f>
        <v>4395891.3857565513</v>
      </c>
    </row>
    <row r="101" spans="1:15">
      <c r="A101" s="98" t="s">
        <v>2672</v>
      </c>
      <c r="B101" s="100">
        <f>'EPA Part 75'!I359*2000</f>
        <v>3770006075.9999995</v>
      </c>
      <c r="D101" s="109" t="s">
        <v>401</v>
      </c>
      <c r="E101" s="110" t="s">
        <v>50</v>
      </c>
      <c r="F101" s="108">
        <f>'EIA Form 923'!T2165-'EIA Form 923'!W2165</f>
        <v>0</v>
      </c>
      <c r="G101" s="108">
        <f>'EIA Form 923'!T2165</f>
        <v>0</v>
      </c>
      <c r="I101" s="111">
        <f>F101*'GWPs &amp; Fuel EFs'!$N6</f>
        <v>0</v>
      </c>
      <c r="K101" s="111">
        <f>G101*'GWPs &amp; Fuel EFs'!$M34</f>
        <v>0</v>
      </c>
      <c r="L101" s="111">
        <f>K101*'GWPs &amp; Fuel EFs'!$D$11</f>
        <v>0</v>
      </c>
      <c r="N101" s="111">
        <f>G101*'GWPs &amp; Fuel EFs'!$M62</f>
        <v>0</v>
      </c>
      <c r="O101" s="111">
        <f>N101*'GWPs &amp; Fuel EFs'!$E$11</f>
        <v>0</v>
      </c>
    </row>
    <row r="102" spans="1:15">
      <c r="A102" s="98" t="s">
        <v>222</v>
      </c>
      <c r="B102" s="99">
        <f>L113</f>
        <v>5821923.499438989</v>
      </c>
      <c r="D102" s="109" t="s">
        <v>389</v>
      </c>
      <c r="E102" s="110" t="s">
        <v>48</v>
      </c>
      <c r="F102" s="108">
        <f>'EIA Form 923'!T2166-'EIA Form 923'!W2166</f>
        <v>9377</v>
      </c>
      <c r="G102" s="108">
        <f>'EIA Form 923'!T2166</f>
        <v>71671</v>
      </c>
      <c r="I102" s="111">
        <f>F102*'GWPs &amp; Fuel EFs'!$N7</f>
        <v>1512416.3224983998</v>
      </c>
      <c r="K102" s="111">
        <f>G102*'GWPs &amp; Fuel EFs'!$M35</f>
        <v>474.02252339405999</v>
      </c>
      <c r="L102" s="111">
        <f>K102*'GWPs &amp; Fuel EFs'!$D$11</f>
        <v>11850.563084851499</v>
      </c>
      <c r="N102" s="111">
        <f>G102*'GWPs &amp; Fuel EFs'!$M63</f>
        <v>94.804504678811995</v>
      </c>
      <c r="O102" s="111">
        <f>N102*'GWPs &amp; Fuel EFs'!$E$11</f>
        <v>28251.742394285975</v>
      </c>
    </row>
    <row r="103" spans="1:15">
      <c r="A103" s="98" t="s">
        <v>223</v>
      </c>
      <c r="B103" s="99">
        <f>O113</f>
        <v>9071866.134080356</v>
      </c>
      <c r="D103" s="109" t="s">
        <v>388</v>
      </c>
      <c r="E103" s="110" t="s">
        <v>41</v>
      </c>
      <c r="F103" s="108">
        <f>'EIA Form 923'!T2167-'EIA Form 923'!W2167</f>
        <v>20026</v>
      </c>
      <c r="G103" s="108">
        <f>'EIA Form 923'!T2167</f>
        <v>26275735</v>
      </c>
      <c r="I103" s="111">
        <f>F103*'GWPs &amp; Fuel EFs'!$N8</f>
        <v>2343025.6467684</v>
      </c>
      <c r="K103" s="111">
        <f>G103*'GWPs &amp; Fuel EFs'!$M36</f>
        <v>57928.0797381257</v>
      </c>
      <c r="L103" s="111">
        <f>K103*'GWPs &amp; Fuel EFs'!$D$11</f>
        <v>1448201.9934531425</v>
      </c>
      <c r="N103" s="111">
        <f>G103*'GWPs &amp; Fuel EFs'!$M64</f>
        <v>5792.8079738125698</v>
      </c>
      <c r="O103" s="111">
        <f>N103*'GWPs &amp; Fuel EFs'!$E$11</f>
        <v>1726256.7761961457</v>
      </c>
    </row>
    <row r="104" spans="1:15">
      <c r="A104" s="98" t="s">
        <v>224</v>
      </c>
      <c r="B104" s="99">
        <f>L123</f>
        <v>8055354.4030625373</v>
      </c>
      <c r="D104" s="109" t="s">
        <v>402</v>
      </c>
      <c r="E104" s="110" t="s">
        <v>19</v>
      </c>
      <c r="F104" s="108">
        <f>'EIA Form 923'!T2168-'EIA Form 923'!W2168</f>
        <v>1088006</v>
      </c>
      <c r="G104" s="108">
        <f>'EIA Form 923'!T2168</f>
        <v>1088006</v>
      </c>
      <c r="I104" s="111">
        <f>F104*'GWPs &amp; Fuel EFs'!$N9</f>
        <v>220462100.16459319</v>
      </c>
      <c r="K104" s="111">
        <f>G104*'GWPs &amp; Fuel EFs'!$M37</f>
        <v>72125.005506409972</v>
      </c>
      <c r="L104" s="111">
        <f>K104*'GWPs &amp; Fuel EFs'!$D$11</f>
        <v>1803125.1376602494</v>
      </c>
      <c r="N104" s="111">
        <f>G104*'GWPs &amp; Fuel EFs'!$M65</f>
        <v>9616.667400854667</v>
      </c>
      <c r="O104" s="111">
        <f>N104*'GWPs &amp; Fuel EFs'!$E$11</f>
        <v>2865766.8854546905</v>
      </c>
    </row>
    <row r="105" spans="1:15">
      <c r="A105" s="98" t="s">
        <v>225</v>
      </c>
      <c r="B105" s="99">
        <f>O123</f>
        <v>41377198.176163413</v>
      </c>
      <c r="D105" s="109" t="s">
        <v>403</v>
      </c>
      <c r="E105" s="110" t="s">
        <v>84</v>
      </c>
      <c r="F105" s="108">
        <f>'EIA Form 923'!T2169-'EIA Form 923'!W2169</f>
        <v>0</v>
      </c>
      <c r="G105" s="108">
        <f>'EIA Form 923'!T2169</f>
        <v>0</v>
      </c>
      <c r="I105" s="111">
        <f>F105*'GWPs &amp; Fuel EFs'!$N10</f>
        <v>0</v>
      </c>
      <c r="K105" s="111">
        <f>G105*'GWPs &amp; Fuel EFs'!$M38</f>
        <v>0</v>
      </c>
      <c r="L105" s="111">
        <f>K105*'GWPs &amp; Fuel EFs'!$D$11</f>
        <v>0</v>
      </c>
      <c r="N105" s="111">
        <f>G105*'GWPs &amp; Fuel EFs'!$M66</f>
        <v>0</v>
      </c>
      <c r="O105" s="111">
        <f>N105*'GWPs &amp; Fuel EFs'!$E$11</f>
        <v>0</v>
      </c>
    </row>
    <row r="106" spans="1:15">
      <c r="A106" s="98"/>
      <c r="B106" s="98"/>
      <c r="D106" s="109" t="s">
        <v>398</v>
      </c>
      <c r="E106" s="110" t="s">
        <v>410</v>
      </c>
      <c r="F106" s="108">
        <f>'EIA Form 923'!T2170-'EIA Form 923'!W2170</f>
        <v>0</v>
      </c>
      <c r="G106" s="108">
        <f>'EIA Form 923'!T2170</f>
        <v>0</v>
      </c>
      <c r="I106" s="111">
        <f>F106*'GWPs &amp; Fuel EFs'!$N11</f>
        <v>0</v>
      </c>
      <c r="K106" s="111">
        <f>G106*'GWPs &amp; Fuel EFs'!$M39</f>
        <v>0</v>
      </c>
      <c r="L106" s="111">
        <f>K106*'GWPs &amp; Fuel EFs'!$D$11</f>
        <v>0</v>
      </c>
      <c r="N106" s="111">
        <f>G106*'GWPs &amp; Fuel EFs'!$M67</f>
        <v>0</v>
      </c>
      <c r="O106" s="111">
        <f>N106*'GWPs &amp; Fuel EFs'!$E$11</f>
        <v>0</v>
      </c>
    </row>
    <row r="107" spans="1:15">
      <c r="A107" s="98"/>
      <c r="B107" s="98"/>
      <c r="D107" s="109" t="s">
        <v>391</v>
      </c>
      <c r="E107" s="110" t="s">
        <v>67</v>
      </c>
      <c r="F107" s="108">
        <f>'EIA Form 923'!T2171-'EIA Form 923'!W2171</f>
        <v>0</v>
      </c>
      <c r="G107" s="108">
        <f>'EIA Form 923'!T2171</f>
        <v>0</v>
      </c>
      <c r="I107" s="111">
        <f>F107*'GWPs &amp; Fuel EFs'!$N12</f>
        <v>0</v>
      </c>
      <c r="K107" s="111">
        <f>G107*'GWPs &amp; Fuel EFs'!$M40</f>
        <v>0</v>
      </c>
      <c r="L107" s="111">
        <f>K107*'GWPs &amp; Fuel EFs'!$D$11</f>
        <v>0</v>
      </c>
      <c r="N107" s="111">
        <f>G107*'GWPs &amp; Fuel EFs'!$M68</f>
        <v>0</v>
      </c>
      <c r="O107" s="111">
        <f>N107*'GWPs &amp; Fuel EFs'!$E$11</f>
        <v>0</v>
      </c>
    </row>
    <row r="108" spans="1:15">
      <c r="A108" s="98"/>
      <c r="B108" s="98"/>
      <c r="D108" s="109" t="s">
        <v>390</v>
      </c>
      <c r="E108" s="110" t="s">
        <v>63</v>
      </c>
      <c r="F108" s="108">
        <f>'EIA Form 923'!T2172-'EIA Form 923'!W2172</f>
        <v>115073</v>
      </c>
      <c r="G108" s="108">
        <f>'EIA Form 923'!T2172</f>
        <v>130080</v>
      </c>
      <c r="I108" s="111">
        <f>F108*'GWPs &amp; Fuel EFs'!$N13</f>
        <v>19988411.373715397</v>
      </c>
      <c r="K108" s="111">
        <f>G108*'GWPs &amp; Fuel EFs'!$M41</f>
        <v>860.33193122879993</v>
      </c>
      <c r="L108" s="111">
        <f>K108*'GWPs &amp; Fuel EFs'!$D$11</f>
        <v>21508.298280719999</v>
      </c>
      <c r="N108" s="111">
        <f>G108*'GWPs &amp; Fuel EFs'!$M69</f>
        <v>172.06638624575999</v>
      </c>
      <c r="O108" s="111">
        <f>N108*'GWPs &amp; Fuel EFs'!$E$11</f>
        <v>51275.783101236477</v>
      </c>
    </row>
    <row r="109" spans="1:15">
      <c r="A109" s="98"/>
      <c r="B109" s="98"/>
      <c r="D109" s="109" t="s">
        <v>392</v>
      </c>
      <c r="E109" s="110" t="s">
        <v>68</v>
      </c>
      <c r="F109" s="108">
        <f>'EIA Form 923'!T2173-'EIA Form 923'!W2173</f>
        <v>5796</v>
      </c>
      <c r="G109" s="108">
        <f>'EIA Form 923'!T2173</f>
        <v>11222</v>
      </c>
      <c r="I109" s="111">
        <f>F109*'GWPs &amp; Fuel EFs'!$N14</f>
        <v>905958.60616800003</v>
      </c>
      <c r="K109" s="111">
        <f>G109*'GWPs &amp; Fuel EFs'!$M42</f>
        <v>74.220825124919998</v>
      </c>
      <c r="L109" s="111">
        <f>K109*'GWPs &amp; Fuel EFs'!$D$11</f>
        <v>1855.5206281229998</v>
      </c>
      <c r="N109" s="111">
        <f>G109*'GWPs &amp; Fuel EFs'!$M70</f>
        <v>14.844165024983997</v>
      </c>
      <c r="O109" s="111">
        <f>N109*'GWPs &amp; Fuel EFs'!$E$11</f>
        <v>4423.5611774452309</v>
      </c>
    </row>
    <row r="110" spans="1:15">
      <c r="A110" s="98"/>
      <c r="B110" s="98"/>
      <c r="D110" s="109" t="s">
        <v>393</v>
      </c>
      <c r="E110" s="110" t="s">
        <v>78</v>
      </c>
      <c r="F110" s="108">
        <f>'EIA Form 923'!T2174-'EIA Form 923'!W2174</f>
        <v>0</v>
      </c>
      <c r="G110" s="108">
        <f>'EIA Form 923'!T2174</f>
        <v>0</v>
      </c>
      <c r="I110" s="111">
        <f>F110*'GWPs &amp; Fuel EFs'!$N15</f>
        <v>0</v>
      </c>
      <c r="K110" s="111">
        <f>G110*'GWPs &amp; Fuel EFs'!$M43</f>
        <v>0</v>
      </c>
      <c r="L110" s="111">
        <f>K110*'GWPs &amp; Fuel EFs'!$D$11</f>
        <v>0</v>
      </c>
      <c r="N110" s="111">
        <f>G110*'GWPs &amp; Fuel EFs'!$M71</f>
        <v>0</v>
      </c>
      <c r="O110" s="111">
        <f>N110*'GWPs &amp; Fuel EFs'!$E$11</f>
        <v>0</v>
      </c>
    </row>
    <row r="111" spans="1:15">
      <c r="A111" s="98"/>
      <c r="B111" s="98"/>
      <c r="D111" s="109" t="s">
        <v>394</v>
      </c>
      <c r="E111" s="110" t="s">
        <v>75</v>
      </c>
      <c r="F111" s="108">
        <f>'EIA Form 923'!T2175-'EIA Form 923'!W2175</f>
        <v>0</v>
      </c>
      <c r="G111" s="108">
        <f>'EIA Form 923'!T2175</f>
        <v>0</v>
      </c>
      <c r="I111" s="111">
        <f>F111*'GWPs &amp; Fuel EFs'!$N16</f>
        <v>0</v>
      </c>
      <c r="K111" s="111">
        <f>G111*'GWPs &amp; Fuel EFs'!$M44</f>
        <v>0</v>
      </c>
      <c r="L111" s="111">
        <f>K111*'GWPs &amp; Fuel EFs'!$D$11</f>
        <v>0</v>
      </c>
      <c r="N111" s="111">
        <f>G111*'GWPs &amp; Fuel EFs'!$M72</f>
        <v>0</v>
      </c>
      <c r="O111" s="111">
        <f>N111*'GWPs &amp; Fuel EFs'!$E$11</f>
        <v>0</v>
      </c>
    </row>
    <row r="112" spans="1:15">
      <c r="A112" s="98"/>
      <c r="B112" s="98"/>
      <c r="D112" s="109" t="s">
        <v>448</v>
      </c>
      <c r="E112" s="110" t="s">
        <v>439</v>
      </c>
      <c r="F112" s="108">
        <f>'EIA Form 923'!T2176-'EIA Form 923'!W2176</f>
        <v>0</v>
      </c>
      <c r="G112" s="108">
        <f>'EIA Form 923'!T2176</f>
        <v>0</v>
      </c>
      <c r="I112" s="111">
        <f>F112*'GWPs &amp; Fuel EFs'!$N17</f>
        <v>0</v>
      </c>
      <c r="K112" s="111">
        <f>G112*'GWPs &amp; Fuel EFs'!$M45</f>
        <v>0</v>
      </c>
      <c r="L112" s="111">
        <f>K112*'GWPs &amp; Fuel EFs'!$D$11</f>
        <v>0</v>
      </c>
      <c r="N112" s="111">
        <f>G112*'GWPs &amp; Fuel EFs'!$M73</f>
        <v>0</v>
      </c>
      <c r="O112" s="111">
        <f>N112*'GWPs &amp; Fuel EFs'!$E$11</f>
        <v>0</v>
      </c>
    </row>
    <row r="113" spans="1:15">
      <c r="A113" s="98"/>
      <c r="B113" s="98"/>
      <c r="D113" s="109"/>
      <c r="F113" s="108"/>
      <c r="G113" s="108"/>
      <c r="I113" s="114">
        <f>SUM(I100:I112)</f>
        <v>401959596.48222739</v>
      </c>
      <c r="K113" s="111"/>
      <c r="L113" s="114">
        <f>SUM(L100:L112)</f>
        <v>5821923.499438989</v>
      </c>
      <c r="N113" s="111"/>
      <c r="O113" s="114">
        <f>SUM(O100:O112)</f>
        <v>9071866.134080356</v>
      </c>
    </row>
    <row r="114" spans="1:15" ht="13">
      <c r="A114" s="101" t="s">
        <v>226</v>
      </c>
      <c r="B114" s="97">
        <f>I123</f>
        <v>3674575457.2050929</v>
      </c>
      <c r="D114" s="90" t="s">
        <v>227</v>
      </c>
      <c r="F114" s="108"/>
      <c r="G114" s="108"/>
      <c r="I114" s="114"/>
      <c r="K114" s="111"/>
      <c r="L114" s="114"/>
      <c r="N114" s="111"/>
      <c r="O114" s="114"/>
    </row>
    <row r="115" spans="1:15">
      <c r="A115" s="98"/>
      <c r="B115" s="98"/>
      <c r="D115" s="112" t="s">
        <v>396</v>
      </c>
      <c r="E115" s="113" t="s">
        <v>65</v>
      </c>
      <c r="F115" s="108">
        <f>'EIA Form 923'!T2178-'EIA Form 923'!W2178</f>
        <v>822315</v>
      </c>
      <c r="G115" s="108">
        <f>'EIA Form 923'!T2178</f>
        <v>822315</v>
      </c>
      <c r="I115" s="111">
        <f>F115*'GWPs &amp; Fuel EFs'!$N20</f>
        <v>94397403.585279167</v>
      </c>
      <c r="K115" s="111">
        <f>G115*'GWPs &amp; Fuel EFs'!$M48</f>
        <v>5801.26159924896</v>
      </c>
      <c r="L115" s="111">
        <f>K115*'GWPs &amp; Fuel EFs'!$D$11</f>
        <v>145031.53998122399</v>
      </c>
      <c r="N115" s="111">
        <f>G115*'GWPs &amp; Fuel EFs'!$M76</f>
        <v>1142.123377352139</v>
      </c>
      <c r="O115" s="111">
        <f>N115*'GWPs &amp; Fuel EFs'!$E$11</f>
        <v>340352.76645093743</v>
      </c>
    </row>
    <row r="116" spans="1:15">
      <c r="A116" s="98"/>
      <c r="B116" s="100"/>
      <c r="D116" s="112" t="s">
        <v>399</v>
      </c>
      <c r="E116" s="113" t="s">
        <v>18</v>
      </c>
      <c r="F116" s="108">
        <f>'EIA Form 923'!T2179-'EIA Form 923'!W2179</f>
        <v>890197</v>
      </c>
      <c r="G116" s="108">
        <f>'EIA Form 923'!T2179</f>
        <v>890197</v>
      </c>
      <c r="I116" s="111">
        <f>F116*'GWPs &amp; Fuel EFs'!$N21</f>
        <v>186353839.36095649</v>
      </c>
      <c r="K116" s="111">
        <f>G116*'GWPs &amp; Fuel EFs'!$M49</f>
        <v>55906.151808286944</v>
      </c>
      <c r="L116" s="111">
        <f>K116*'GWPs &amp; Fuel EFs'!$D$11</f>
        <v>1397653.7952071736</v>
      </c>
      <c r="N116" s="111">
        <f>G116*'GWPs &amp; Fuel EFs'!$M77</f>
        <v>7454.1535744382591</v>
      </c>
      <c r="O116" s="111">
        <f>N116*'GWPs &amp; Fuel EFs'!$E$11</f>
        <v>2221337.7651826013</v>
      </c>
    </row>
    <row r="117" spans="1:15">
      <c r="A117" s="98"/>
      <c r="B117" s="98"/>
      <c r="D117" s="112" t="s">
        <v>395</v>
      </c>
      <c r="E117" s="113" t="s">
        <v>159</v>
      </c>
      <c r="F117" s="108">
        <f>'EIA Form 923'!T2180-'EIA Form 923'!W2180</f>
        <v>0</v>
      </c>
      <c r="G117" s="108">
        <f>'EIA Form 923'!T2180</f>
        <v>0</v>
      </c>
      <c r="I117" s="111">
        <f>F117*'GWPs &amp; Fuel EFs'!$N22</f>
        <v>0</v>
      </c>
      <c r="K117" s="111">
        <f>G117*'GWPs &amp; Fuel EFs'!$M50</f>
        <v>0</v>
      </c>
      <c r="L117" s="111">
        <f>K117*'GWPs &amp; Fuel EFs'!$D$11</f>
        <v>0</v>
      </c>
      <c r="N117" s="111">
        <f>G117*'GWPs &amp; Fuel EFs'!$M78</f>
        <v>0</v>
      </c>
      <c r="O117" s="111">
        <f>N117*'GWPs &amp; Fuel EFs'!$E$11</f>
        <v>0</v>
      </c>
    </row>
    <row r="118" spans="1:15">
      <c r="A118" s="98"/>
      <c r="B118" s="98"/>
      <c r="D118" s="112" t="s">
        <v>404</v>
      </c>
      <c r="E118" s="113" t="s">
        <v>71</v>
      </c>
      <c r="F118" s="108">
        <f>'EIA Form 923'!T2181-'EIA Form 923'!W2181</f>
        <v>16411650</v>
      </c>
      <c r="G118" s="108">
        <f>'EIA Form 923'!T2181</f>
        <v>16411650</v>
      </c>
      <c r="H118" s="118"/>
      <c r="I118" s="111">
        <f>F118*'GWPs &amp; Fuel EFs'!$N23</f>
        <v>3393824214.2588573</v>
      </c>
      <c r="K118" s="111">
        <f>G118*'GWPs &amp; Fuel EFs'!$M51</f>
        <v>260506.76271496559</v>
      </c>
      <c r="L118" s="111">
        <f>K118*'GWPs &amp; Fuel EFs'!$D$11</f>
        <v>6512669.0678741401</v>
      </c>
      <c r="N118" s="111">
        <f>G118*'GWPs &amp; Fuel EFs'!$M79</f>
        <v>130253.38135748279</v>
      </c>
      <c r="O118" s="111">
        <f>N118*'GWPs &amp; Fuel EFs'!$E$11</f>
        <v>38815507.644529872</v>
      </c>
    </row>
    <row r="119" spans="1:15">
      <c r="A119" s="98"/>
      <c r="B119" s="98"/>
      <c r="D119" s="112" t="s">
        <v>397</v>
      </c>
      <c r="E119" s="113" t="s">
        <v>160</v>
      </c>
      <c r="F119" s="108">
        <f>'EIA Form 923'!T2182-'EIA Form 923'!W2182</f>
        <v>0</v>
      </c>
      <c r="G119" s="108">
        <f>'EIA Form 923'!T2182</f>
        <v>0</v>
      </c>
      <c r="I119" s="111">
        <f>F119*'GWPs &amp; Fuel EFs'!$N24</f>
        <v>0</v>
      </c>
      <c r="K119" s="111">
        <f>G119*'GWPs &amp; Fuel EFs'!$M52</f>
        <v>0</v>
      </c>
      <c r="L119" s="111">
        <f>K119*'GWPs &amp; Fuel EFs'!$D$11</f>
        <v>0</v>
      </c>
      <c r="N119" s="111">
        <f>G119*'GWPs &amp; Fuel EFs'!$M80</f>
        <v>0</v>
      </c>
      <c r="O119" s="111">
        <f>N119*'GWPs &amp; Fuel EFs'!$E$11</f>
        <v>0</v>
      </c>
    </row>
    <row r="120" spans="1:15">
      <c r="A120" s="98"/>
      <c r="B120" s="98"/>
      <c r="D120" s="112" t="s">
        <v>450</v>
      </c>
      <c r="E120" s="113" t="s">
        <v>431</v>
      </c>
      <c r="F120" s="108">
        <f>'EIA Form 923'!T2183-'EIA Form 923'!W2183</f>
        <v>0</v>
      </c>
      <c r="G120" s="108">
        <f>'EIA Form 923'!T2183</f>
        <v>0</v>
      </c>
      <c r="H120" s="118"/>
      <c r="I120" s="111">
        <f>F120*'GWPs &amp; Fuel EFs'!$N25</f>
        <v>0</v>
      </c>
      <c r="K120" s="111">
        <f>G120*'GWPs &amp; Fuel EFs'!$M53</f>
        <v>0</v>
      </c>
      <c r="L120" s="111">
        <f>K120*'GWPs &amp; Fuel EFs'!$D$11</f>
        <v>0</v>
      </c>
      <c r="N120" s="111">
        <f>G120*'GWPs &amp; Fuel EFs'!$M81</f>
        <v>0</v>
      </c>
      <c r="O120" s="111">
        <f>N120*'GWPs &amp; Fuel EFs'!$E$11</f>
        <v>0</v>
      </c>
    </row>
    <row r="121" spans="1:15">
      <c r="A121" s="98"/>
      <c r="B121" s="98"/>
      <c r="D121" s="112" t="s">
        <v>2657</v>
      </c>
      <c r="E121" s="113" t="s">
        <v>436</v>
      </c>
      <c r="F121" s="108">
        <f>'EIA Form 923'!T2184-'EIA Form 923'!W2184</f>
        <v>0</v>
      </c>
      <c r="G121" s="108">
        <f>'EIA Form 923'!T2184</f>
        <v>0</v>
      </c>
      <c r="H121" s="118"/>
      <c r="I121" s="111">
        <f>F121*'GWPs &amp; Fuel EFs'!$N26</f>
        <v>0</v>
      </c>
      <c r="K121" s="111">
        <f>G121*'GWPs &amp; Fuel EFs'!$M54</f>
        <v>0</v>
      </c>
      <c r="L121" s="111">
        <f>K121*'GWPs &amp; Fuel EFs'!$D$11</f>
        <v>0</v>
      </c>
      <c r="N121" s="111">
        <f>G121*'GWPs &amp; Fuel EFs'!$M82</f>
        <v>0</v>
      </c>
      <c r="O121" s="111">
        <f>N121*'GWPs &amp; Fuel EFs'!$E$11</f>
        <v>0</v>
      </c>
    </row>
    <row r="122" spans="1:15">
      <c r="A122" s="98"/>
      <c r="B122" s="98"/>
      <c r="D122" s="112" t="s">
        <v>449</v>
      </c>
      <c r="E122" s="113" t="s">
        <v>70</v>
      </c>
      <c r="F122" s="108">
        <f>'EIA Form 923'!T2185-'EIA Form 923'!W2185</f>
        <v>0</v>
      </c>
      <c r="G122" s="108">
        <f>'EIA Form 923'!T2185</f>
        <v>0</v>
      </c>
      <c r="H122" s="118"/>
      <c r="I122" s="111">
        <f>F122*'GWPs &amp; Fuel EFs'!$N27</f>
        <v>0</v>
      </c>
      <c r="K122" s="111">
        <f>G122*'GWPs &amp; Fuel EFs'!$M55</f>
        <v>0</v>
      </c>
      <c r="L122" s="111">
        <f>K122*'GWPs &amp; Fuel EFs'!$D$11</f>
        <v>0</v>
      </c>
      <c r="N122" s="111">
        <f>G122*'GWPs &amp; Fuel EFs'!$M83</f>
        <v>0</v>
      </c>
      <c r="O122" s="111">
        <f>N122*'GWPs &amp; Fuel EFs'!$E$11</f>
        <v>0</v>
      </c>
    </row>
    <row r="123" spans="1:15">
      <c r="A123" s="98"/>
      <c r="B123" s="103"/>
      <c r="D123" s="119"/>
      <c r="E123" s="119"/>
      <c r="F123" s="108"/>
      <c r="G123" s="108"/>
      <c r="H123" s="118"/>
      <c r="I123" s="115">
        <f>SUM(I115:I122)</f>
        <v>3674575457.2050929</v>
      </c>
      <c r="L123" s="114">
        <f>SUM(L115:L122)</f>
        <v>8055354.4030625373</v>
      </c>
      <c r="O123" s="114">
        <f>SUM(O115:O122)</f>
        <v>41377198.176163413</v>
      </c>
    </row>
    <row r="124" spans="1:15">
      <c r="A124" s="98"/>
      <c r="B124" s="98"/>
    </row>
    <row r="125" spans="1:15">
      <c r="A125" s="17"/>
      <c r="B125" s="17"/>
      <c r="D125" s="116"/>
      <c r="E125" s="116"/>
      <c r="F125" s="116"/>
      <c r="G125" s="116"/>
      <c r="I125" s="116"/>
      <c r="K125" s="116"/>
      <c r="L125" s="116"/>
      <c r="N125" s="116"/>
      <c r="O125" s="116"/>
    </row>
    <row r="126" spans="1:15" ht="13">
      <c r="A126" s="863" t="s">
        <v>1628</v>
      </c>
      <c r="B126" s="863"/>
      <c r="D126" s="862" t="s">
        <v>233</v>
      </c>
      <c r="E126" s="862"/>
      <c r="F126" s="862"/>
      <c r="G126" s="862"/>
      <c r="I126" s="105" t="s">
        <v>233</v>
      </c>
      <c r="K126" s="862" t="s">
        <v>233</v>
      </c>
      <c r="L126" s="862"/>
      <c r="N126" s="862" t="s">
        <v>233</v>
      </c>
      <c r="O126" s="862"/>
    </row>
    <row r="127" spans="1:15" ht="13">
      <c r="A127" s="863">
        <f>A7</f>
        <v>2019</v>
      </c>
      <c r="B127" s="863"/>
      <c r="D127" s="862" t="s">
        <v>213</v>
      </c>
      <c r="E127" s="862"/>
      <c r="F127" s="862"/>
      <c r="G127" s="862"/>
      <c r="I127" s="105" t="s">
        <v>214</v>
      </c>
      <c r="K127" s="862" t="s">
        <v>215</v>
      </c>
      <c r="L127" s="862"/>
      <c r="N127" s="862" t="s">
        <v>216</v>
      </c>
      <c r="O127" s="862"/>
    </row>
    <row r="128" spans="1:15" s="13" customFormat="1" ht="35.5">
      <c r="A128" s="94"/>
      <c r="B128" s="95" t="s">
        <v>341</v>
      </c>
      <c r="D128" s="107" t="s">
        <v>217</v>
      </c>
      <c r="E128" s="107" t="s">
        <v>218</v>
      </c>
      <c r="F128" s="107" t="s">
        <v>2667</v>
      </c>
      <c r="G128" s="107" t="s">
        <v>2668</v>
      </c>
      <c r="H128" s="93"/>
      <c r="I128" s="92" t="s">
        <v>339</v>
      </c>
      <c r="J128" s="106"/>
      <c r="K128" s="90" t="s">
        <v>340</v>
      </c>
      <c r="L128" s="91" t="s">
        <v>341</v>
      </c>
      <c r="M128" s="106"/>
      <c r="N128" s="90" t="s">
        <v>342</v>
      </c>
      <c r="O128" s="91" t="s">
        <v>341</v>
      </c>
    </row>
    <row r="129" spans="1:15" ht="26.25" customHeight="1">
      <c r="A129" s="96" t="s">
        <v>220</v>
      </c>
      <c r="B129" s="97">
        <f>SUM(B130:B135)</f>
        <v>50416677466.425514</v>
      </c>
      <c r="D129" s="90" t="s">
        <v>221</v>
      </c>
      <c r="E129" s="90"/>
      <c r="F129" s="107" t="s">
        <v>2669</v>
      </c>
      <c r="G129" s="107" t="s">
        <v>2670</v>
      </c>
      <c r="K129" s="106"/>
      <c r="L129" s="106"/>
      <c r="N129" s="106"/>
      <c r="O129" s="106"/>
    </row>
    <row r="130" spans="1:15">
      <c r="A130" s="98" t="s">
        <v>2671</v>
      </c>
      <c r="B130" s="99">
        <f>I143</f>
        <v>17501112083.963558</v>
      </c>
      <c r="D130" s="109" t="s">
        <v>400</v>
      </c>
      <c r="E130" s="110" t="s">
        <v>45</v>
      </c>
      <c r="F130" s="108">
        <f>'EIA Form 923'!T2189-'EIA Form 923'!W2189</f>
        <v>0</v>
      </c>
      <c r="G130" s="108">
        <f>'EIA Form 923'!T2189</f>
        <v>4758947</v>
      </c>
      <c r="I130" s="111">
        <f>F130*'GWPs &amp; Fuel EFs'!$N5</f>
        <v>0</v>
      </c>
      <c r="K130" s="111">
        <f>G130*'GWPs &amp; Fuel EFs'!$M33</f>
        <v>115408.50423939253</v>
      </c>
      <c r="L130" s="111">
        <f>K130*'GWPs &amp; Fuel EFs'!$D$11</f>
        <v>2885212.6059848131</v>
      </c>
      <c r="N130" s="111">
        <f>G130*'GWPs &amp; Fuel EFs'!$M61</f>
        <v>16786.691525729824</v>
      </c>
      <c r="O130" s="111">
        <f>N130*'GWPs &amp; Fuel EFs'!$E$11</f>
        <v>5002434.0746674873</v>
      </c>
    </row>
    <row r="131" spans="1:15">
      <c r="A131" s="98" t="s">
        <v>2672</v>
      </c>
      <c r="B131" s="100">
        <f>'EPA Part 75'!I360*2000</f>
        <v>32743257929.999996</v>
      </c>
      <c r="D131" s="109" t="s">
        <v>401</v>
      </c>
      <c r="E131" s="110" t="s">
        <v>50</v>
      </c>
      <c r="F131" s="108">
        <f>'EIA Form 923'!T2190-'EIA Form 923'!W2190</f>
        <v>0</v>
      </c>
      <c r="G131" s="108">
        <f>'EIA Form 923'!T2190</f>
        <v>0</v>
      </c>
      <c r="I131" s="111">
        <f>F131*'GWPs &amp; Fuel EFs'!$N6</f>
        <v>0</v>
      </c>
      <c r="K131" s="111">
        <f>G131*'GWPs &amp; Fuel EFs'!$M34</f>
        <v>0</v>
      </c>
      <c r="L131" s="111">
        <f>K131*'GWPs &amp; Fuel EFs'!$D$11</f>
        <v>0</v>
      </c>
      <c r="N131" s="111">
        <f>G131*'GWPs &amp; Fuel EFs'!$M62</f>
        <v>0</v>
      </c>
      <c r="O131" s="111">
        <f>N131*'GWPs &amp; Fuel EFs'!$E$11</f>
        <v>0</v>
      </c>
    </row>
    <row r="132" spans="1:15">
      <c r="A132" s="98" t="s">
        <v>222</v>
      </c>
      <c r="B132" s="99">
        <f>L143</f>
        <v>45036252.412539586</v>
      </c>
      <c r="D132" s="109" t="s">
        <v>389</v>
      </c>
      <c r="E132" s="110" t="s">
        <v>48</v>
      </c>
      <c r="F132" s="108">
        <f>'EIA Form 923'!T2191-'EIA Form 923'!W2191</f>
        <v>1004678</v>
      </c>
      <c r="G132" s="108">
        <f>'EIA Form 923'!T2191</f>
        <v>2083573</v>
      </c>
      <c r="I132" s="111">
        <f>F132*'GWPs &amp; Fuel EFs'!$N7</f>
        <v>162044513.8162576</v>
      </c>
      <c r="K132" s="111">
        <f>G132*'GWPs &amp; Fuel EFs'!$M35</f>
        <v>13780.47649866378</v>
      </c>
      <c r="L132" s="111">
        <f>K132*'GWPs &amp; Fuel EFs'!$D$11</f>
        <v>344511.91246659448</v>
      </c>
      <c r="N132" s="111">
        <f>G132*'GWPs &amp; Fuel EFs'!$M63</f>
        <v>2756.0952997327558</v>
      </c>
      <c r="O132" s="111">
        <f>N132*'GWPs &amp; Fuel EFs'!$E$11</f>
        <v>821316.3993203612</v>
      </c>
    </row>
    <row r="133" spans="1:15">
      <c r="A133" s="98" t="s">
        <v>223</v>
      </c>
      <c r="B133" s="99">
        <f>O143</f>
        <v>64647697.293355212</v>
      </c>
      <c r="D133" s="109" t="s">
        <v>388</v>
      </c>
      <c r="E133" s="110" t="s">
        <v>41</v>
      </c>
      <c r="F133" s="108">
        <f>'EIA Form 923'!T2192-'EIA Form 923'!W2192</f>
        <v>125179261</v>
      </c>
      <c r="G133" s="108">
        <f>'EIA Form 923'!T2192</f>
        <v>366176429</v>
      </c>
      <c r="I133" s="111">
        <f>F133*'GWPs &amp; Fuel EFs'!$N8</f>
        <v>14645871315.615467</v>
      </c>
      <c r="K133" s="111">
        <f>G133*'GWPs &amp; Fuel EFs'!$M36</f>
        <v>807280.83828422392</v>
      </c>
      <c r="L133" s="111">
        <f>K133*'GWPs &amp; Fuel EFs'!$D$11</f>
        <v>20182020.957105599</v>
      </c>
      <c r="N133" s="111">
        <f>G133*'GWPs &amp; Fuel EFs'!$M64</f>
        <v>80728.083828422401</v>
      </c>
      <c r="O133" s="111">
        <f>N133*'GWPs &amp; Fuel EFs'!$E$11</f>
        <v>24056968.980869874</v>
      </c>
    </row>
    <row r="134" spans="1:15">
      <c r="A134" s="98" t="s">
        <v>224</v>
      </c>
      <c r="B134" s="99">
        <f>L153</f>
        <v>19969776.322927576</v>
      </c>
      <c r="D134" s="109" t="s">
        <v>402</v>
      </c>
      <c r="E134" s="110" t="s">
        <v>19</v>
      </c>
      <c r="F134" s="108">
        <f>'EIA Form 923'!T2193-'EIA Form 923'!W2193</f>
        <v>12685823</v>
      </c>
      <c r="G134" s="108">
        <f>'EIA Form 923'!T2193</f>
        <v>12685823</v>
      </c>
      <c r="I134" s="111">
        <f>F134*'GWPs &amp; Fuel EFs'!$N9</f>
        <v>2570521836.1813264</v>
      </c>
      <c r="K134" s="111">
        <f>G134*'GWPs &amp; Fuel EFs'!$M37</f>
        <v>840955.88969945232</v>
      </c>
      <c r="L134" s="111">
        <f>K134*'GWPs &amp; Fuel EFs'!$D$11</f>
        <v>21023897.242486309</v>
      </c>
      <c r="N134" s="111">
        <f>G134*'GWPs &amp; Fuel EFs'!$M65</f>
        <v>112127.45195992701</v>
      </c>
      <c r="O134" s="111">
        <f>N134*'GWPs &amp; Fuel EFs'!$E$11</f>
        <v>33413980.684058249</v>
      </c>
    </row>
    <row r="135" spans="1:15">
      <c r="A135" s="98" t="s">
        <v>225</v>
      </c>
      <c r="B135" s="99">
        <f>O153</f>
        <v>42653726.433139458</v>
      </c>
      <c r="D135" s="109" t="s">
        <v>403</v>
      </c>
      <c r="E135" s="110" t="s">
        <v>84</v>
      </c>
      <c r="F135" s="108">
        <f>'EIA Form 923'!T2194-'EIA Form 923'!W2194</f>
        <v>0</v>
      </c>
      <c r="G135" s="108">
        <f>'EIA Form 923'!T2194</f>
        <v>0</v>
      </c>
      <c r="I135" s="111">
        <f>F135*'GWPs &amp; Fuel EFs'!$N10</f>
        <v>0</v>
      </c>
      <c r="K135" s="111">
        <f>G135*'GWPs &amp; Fuel EFs'!$M38</f>
        <v>0</v>
      </c>
      <c r="L135" s="111">
        <f>K135*'GWPs &amp; Fuel EFs'!$D$11</f>
        <v>0</v>
      </c>
      <c r="N135" s="111">
        <f>G135*'GWPs &amp; Fuel EFs'!$M66</f>
        <v>0</v>
      </c>
      <c r="O135" s="111">
        <f>N135*'GWPs &amp; Fuel EFs'!$E$11</f>
        <v>0</v>
      </c>
    </row>
    <row r="136" spans="1:15">
      <c r="A136" s="98"/>
      <c r="B136" s="98"/>
      <c r="D136" s="109" t="s">
        <v>398</v>
      </c>
      <c r="E136" s="110" t="s">
        <v>410</v>
      </c>
      <c r="F136" s="108">
        <f>'EIA Form 923'!T2195-'EIA Form 923'!W2195</f>
        <v>54161</v>
      </c>
      <c r="G136" s="108">
        <f>'EIA Form 923'!T2195</f>
        <v>54161</v>
      </c>
      <c r="I136" s="111">
        <f>F136*'GWPs &amp; Fuel EFs'!$N11</f>
        <v>10265198.3158054</v>
      </c>
      <c r="K136" s="111">
        <f>G136*'GWPs &amp; Fuel EFs'!$M39</f>
        <v>3820.9461030982397</v>
      </c>
      <c r="L136" s="111">
        <f>K136*'GWPs &amp; Fuel EFs'!$D$11</f>
        <v>95523.652577456</v>
      </c>
      <c r="N136" s="111">
        <f>G136*'GWPs &amp; Fuel EFs'!$M67</f>
        <v>501.49917603164391</v>
      </c>
      <c r="O136" s="111">
        <f>N136*'GWPs &amp; Fuel EFs'!$E$11</f>
        <v>149446.7544574299</v>
      </c>
    </row>
    <row r="137" spans="1:15">
      <c r="A137" s="98"/>
      <c r="B137" s="98"/>
      <c r="D137" s="109" t="s">
        <v>391</v>
      </c>
      <c r="E137" s="110" t="s">
        <v>67</v>
      </c>
      <c r="F137" s="108">
        <f>'EIA Form 923'!T2196-'EIA Form 923'!W2196</f>
        <v>0</v>
      </c>
      <c r="G137" s="108">
        <f>'EIA Form 923'!T2196</f>
        <v>0</v>
      </c>
      <c r="I137" s="111">
        <f>F137*'GWPs &amp; Fuel EFs'!$N12</f>
        <v>0</v>
      </c>
      <c r="K137" s="111">
        <f>G137*'GWPs &amp; Fuel EFs'!$M40</f>
        <v>0</v>
      </c>
      <c r="L137" s="111">
        <f>K137*'GWPs &amp; Fuel EFs'!$D$11</f>
        <v>0</v>
      </c>
      <c r="N137" s="111">
        <f>G137*'GWPs &amp; Fuel EFs'!$M68</f>
        <v>0</v>
      </c>
      <c r="O137" s="111">
        <f>N137*'GWPs &amp; Fuel EFs'!$E$11</f>
        <v>0</v>
      </c>
    </row>
    <row r="138" spans="1:15">
      <c r="A138" s="98"/>
      <c r="B138" s="98"/>
      <c r="D138" s="109" t="s">
        <v>390</v>
      </c>
      <c r="E138" s="110" t="s">
        <v>63</v>
      </c>
      <c r="F138" s="108">
        <f>'EIA Form 923'!T2197-'EIA Form 923'!W2197</f>
        <v>279582</v>
      </c>
      <c r="G138" s="108">
        <f>'EIA Form 923'!T2197</f>
        <v>2137969</v>
      </c>
      <c r="I138" s="111">
        <f>F138*'GWPs &amp; Fuel EFs'!$N13</f>
        <v>48563955.303903595</v>
      </c>
      <c r="K138" s="111">
        <f>G138*'GWPs &amp; Fuel EFs'!$M41</f>
        <v>14140.244454776339</v>
      </c>
      <c r="L138" s="111">
        <f>K138*'GWPs &amp; Fuel EFs'!$D$11</f>
        <v>353506.11136940849</v>
      </c>
      <c r="N138" s="111">
        <f>G138*'GWPs &amp; Fuel EFs'!$M69</f>
        <v>2828.0488909552678</v>
      </c>
      <c r="O138" s="111">
        <f>N138*'GWPs &amp; Fuel EFs'!$E$11</f>
        <v>842758.56950466975</v>
      </c>
    </row>
    <row r="139" spans="1:15">
      <c r="A139" s="98"/>
      <c r="B139" s="98"/>
      <c r="D139" s="109" t="s">
        <v>392</v>
      </c>
      <c r="E139" s="110" t="s">
        <v>68</v>
      </c>
      <c r="F139" s="108">
        <f>'EIA Form 923'!T2198-'EIA Form 923'!W2198</f>
        <v>0</v>
      </c>
      <c r="G139" s="108">
        <f>'EIA Form 923'!T2198</f>
        <v>0</v>
      </c>
      <c r="I139" s="111">
        <f>F139*'GWPs &amp; Fuel EFs'!$N14</f>
        <v>0</v>
      </c>
      <c r="K139" s="111">
        <f>G139*'GWPs &amp; Fuel EFs'!$M42</f>
        <v>0</v>
      </c>
      <c r="L139" s="111">
        <f>K139*'GWPs &amp; Fuel EFs'!$D$11</f>
        <v>0</v>
      </c>
      <c r="N139" s="111">
        <f>G139*'GWPs &amp; Fuel EFs'!$M70</f>
        <v>0</v>
      </c>
      <c r="O139" s="111">
        <f>N139*'GWPs &amp; Fuel EFs'!$E$11</f>
        <v>0</v>
      </c>
    </row>
    <row r="140" spans="1:15">
      <c r="A140" s="98"/>
      <c r="B140" s="100"/>
      <c r="D140" s="109" t="s">
        <v>393</v>
      </c>
      <c r="E140" s="110" t="s">
        <v>78</v>
      </c>
      <c r="F140" s="108">
        <f>'EIA Form 923'!T2199-'EIA Form 923'!W2199</f>
        <v>107262</v>
      </c>
      <c r="G140" s="108">
        <f>'EIA Form 923'!T2199</f>
        <v>913824</v>
      </c>
      <c r="I140" s="111">
        <f>F140*'GWPs &amp; Fuel EFs'!$N15</f>
        <v>17096922.016811997</v>
      </c>
      <c r="K140" s="111">
        <f>G140*'GWPs &amp; Fuel EFs'!$M43</f>
        <v>6043.91118329664</v>
      </c>
      <c r="L140" s="111">
        <f>K140*'GWPs &amp; Fuel EFs'!$D$11</f>
        <v>151097.779582416</v>
      </c>
      <c r="N140" s="111">
        <f>G140*'GWPs &amp; Fuel EFs'!$M71</f>
        <v>1208.782236659328</v>
      </c>
      <c r="O140" s="111">
        <f>N140*'GWPs &amp; Fuel EFs'!$E$11</f>
        <v>360217.10652447975</v>
      </c>
    </row>
    <row r="141" spans="1:15">
      <c r="A141" s="98"/>
      <c r="B141" s="98"/>
      <c r="D141" s="109" t="s">
        <v>394</v>
      </c>
      <c r="E141" s="110" t="s">
        <v>75</v>
      </c>
      <c r="F141" s="108">
        <f>'EIA Form 923'!T2200-'EIA Form 923'!W2200</f>
        <v>0</v>
      </c>
      <c r="G141" s="108">
        <f>'EIA Form 923'!T2200</f>
        <v>0</v>
      </c>
      <c r="I141" s="111">
        <f>F141*'GWPs &amp; Fuel EFs'!$N16</f>
        <v>0</v>
      </c>
      <c r="K141" s="111">
        <f>G141*'GWPs &amp; Fuel EFs'!$M44</f>
        <v>0</v>
      </c>
      <c r="L141" s="111">
        <f>K141*'GWPs &amp; Fuel EFs'!$D$11</f>
        <v>0</v>
      </c>
      <c r="N141" s="111">
        <f>G141*'GWPs &amp; Fuel EFs'!$M72</f>
        <v>0</v>
      </c>
      <c r="O141" s="111">
        <f>N141*'GWPs &amp; Fuel EFs'!$E$11</f>
        <v>0</v>
      </c>
    </row>
    <row r="142" spans="1:15">
      <c r="A142" s="98"/>
      <c r="B142" s="98"/>
      <c r="D142" s="109" t="s">
        <v>448</v>
      </c>
      <c r="E142" s="110" t="s">
        <v>439</v>
      </c>
      <c r="F142" s="108">
        <f>'EIA Form 923'!T2201-'EIA Form 923'!W2201</f>
        <v>8748</v>
      </c>
      <c r="G142" s="108">
        <f>'EIA Form 923'!T2201</f>
        <v>8748</v>
      </c>
      <c r="I142" s="111">
        <f>F142*'GWPs &amp; Fuel EFs'!$N17</f>
        <v>1216369.0139831998</v>
      </c>
      <c r="K142" s="111">
        <f>G142*'GWPs &amp; Fuel EFs'!$M45</f>
        <v>19.286038679760001</v>
      </c>
      <c r="L142" s="111">
        <f>K142*'GWPs &amp; Fuel EFs'!$D$11</f>
        <v>482.15096699400004</v>
      </c>
      <c r="N142" s="111">
        <f>G142*'GWPs &amp; Fuel EFs'!$M73</f>
        <v>1.928603867976</v>
      </c>
      <c r="O142" s="111">
        <f>N142*'GWPs &amp; Fuel EFs'!$E$11</f>
        <v>574.72395265684804</v>
      </c>
    </row>
    <row r="143" spans="1:15">
      <c r="A143" s="98"/>
      <c r="B143" s="98"/>
      <c r="D143" s="193" t="s">
        <v>3263</v>
      </c>
      <c r="E143" s="194" t="s">
        <v>3260</v>
      </c>
      <c r="F143" s="204">
        <f>'EIA Form 923'!U2267*'GWPs &amp; Fuel EFs'!$E$34</f>
        <v>45531973.699999996</v>
      </c>
      <c r="G143" s="204" t="s">
        <v>3266</v>
      </c>
      <c r="I143" s="114">
        <f>SUM(I130:I142)+F143</f>
        <v>17501112083.963558</v>
      </c>
      <c r="K143" s="111"/>
      <c r="L143" s="114">
        <f>SUM(L130:L142)</f>
        <v>45036252.412539586</v>
      </c>
      <c r="N143" s="111"/>
      <c r="O143" s="114">
        <f>SUM(O130:O142)</f>
        <v>64647697.293355212</v>
      </c>
    </row>
    <row r="144" spans="1:15" ht="13">
      <c r="A144" s="101" t="s">
        <v>226</v>
      </c>
      <c r="B144" s="97">
        <f>I153</f>
        <v>4271960048.2684388</v>
      </c>
      <c r="D144" s="90" t="s">
        <v>227</v>
      </c>
      <c r="F144" s="108"/>
      <c r="G144" s="108"/>
      <c r="I144" s="114"/>
      <c r="K144" s="111"/>
      <c r="L144" s="114"/>
      <c r="N144" s="111"/>
      <c r="O144" s="114"/>
    </row>
    <row r="145" spans="1:15">
      <c r="A145" s="98"/>
      <c r="B145" s="100"/>
      <c r="D145" s="112" t="s">
        <v>396</v>
      </c>
      <c r="E145" s="113" t="s">
        <v>65</v>
      </c>
      <c r="F145" s="108">
        <f>'EIA Form 923'!T2203-'EIA Form 923'!W2203</f>
        <v>8069148</v>
      </c>
      <c r="G145" s="108">
        <f>'EIA Form 923'!T2203</f>
        <v>8069148</v>
      </c>
      <c r="I145" s="111">
        <f>F145*'GWPs &amp; Fuel EFs'!$N20</f>
        <v>926295422.49058843</v>
      </c>
      <c r="K145" s="111">
        <f>G145*'GWPs &amp; Fuel EFs'!$M48</f>
        <v>56926.163855768835</v>
      </c>
      <c r="L145" s="111">
        <f>K145*'GWPs &amp; Fuel EFs'!$D$11</f>
        <v>1423154.0963942208</v>
      </c>
      <c r="N145" s="111">
        <f>G145*'GWPs &amp; Fuel EFs'!$M76</f>
        <v>11207.338509104487</v>
      </c>
      <c r="O145" s="111">
        <f>N145*'GWPs &amp; Fuel EFs'!$E$11</f>
        <v>3339786.8757131374</v>
      </c>
    </row>
    <row r="146" spans="1:15">
      <c r="A146" s="98"/>
      <c r="B146" s="98"/>
      <c r="D146" s="112" t="s">
        <v>399</v>
      </c>
      <c r="E146" s="113" t="s">
        <v>18</v>
      </c>
      <c r="F146" s="108">
        <f>'EIA Form 923'!T2204-'EIA Form 923'!W2204</f>
        <v>10379221</v>
      </c>
      <c r="G146" s="108">
        <f>'EIA Form 923'!T2204</f>
        <v>10379221</v>
      </c>
      <c r="I146" s="111">
        <f>F146*'GWPs &amp; Fuel EFs'!$N21</f>
        <v>2172786116.9222836</v>
      </c>
      <c r="K146" s="111">
        <f>G146*'GWPs &amp; Fuel EFs'!$M49</f>
        <v>651835.83507668506</v>
      </c>
      <c r="L146" s="111">
        <f>K146*'GWPs &amp; Fuel EFs'!$D$11</f>
        <v>16295895.876917128</v>
      </c>
      <c r="N146" s="111">
        <f>G146*'GWPs &amp; Fuel EFs'!$M77</f>
        <v>86911.444676891348</v>
      </c>
      <c r="O146" s="111">
        <f>N146*'GWPs &amp; Fuel EFs'!$E$11</f>
        <v>25899610.513713621</v>
      </c>
    </row>
    <row r="147" spans="1:15">
      <c r="A147" s="98"/>
      <c r="B147" s="98"/>
      <c r="D147" s="112" t="s">
        <v>395</v>
      </c>
      <c r="E147" s="113" t="s">
        <v>159</v>
      </c>
      <c r="F147" s="108">
        <f>'EIA Form 923'!T2205-'EIA Form 923'!W2205</f>
        <v>0</v>
      </c>
      <c r="G147" s="108">
        <f>'EIA Form 923'!T2205</f>
        <v>0</v>
      </c>
      <c r="I147" s="111">
        <f>F147*'GWPs &amp; Fuel EFs'!$N22</f>
        <v>0</v>
      </c>
      <c r="K147" s="111">
        <f>G147*'GWPs &amp; Fuel EFs'!$M50</f>
        <v>0</v>
      </c>
      <c r="L147" s="111">
        <f>K147*'GWPs &amp; Fuel EFs'!$D$11</f>
        <v>0</v>
      </c>
      <c r="N147" s="111">
        <f>G147*'GWPs &amp; Fuel EFs'!$M78</f>
        <v>0</v>
      </c>
      <c r="O147" s="111">
        <f>N147*'GWPs &amp; Fuel EFs'!$E$11</f>
        <v>0</v>
      </c>
    </row>
    <row r="148" spans="1:15">
      <c r="A148" s="98"/>
      <c r="B148" s="98"/>
      <c r="D148" s="112" t="s">
        <v>404</v>
      </c>
      <c r="E148" s="113" t="s">
        <v>71</v>
      </c>
      <c r="F148" s="108">
        <f>'EIA Form 923'!T2206-'EIA Form 923'!W2206</f>
        <v>5671735</v>
      </c>
      <c r="G148" s="108">
        <f>'EIA Form 923'!T2206</f>
        <v>5671735</v>
      </c>
      <c r="I148" s="111">
        <f>F148*'GWPs &amp; Fuel EFs'!$N23</f>
        <v>1172878508.8555665</v>
      </c>
      <c r="K148" s="111">
        <f>G148*'GWPs &amp; Fuel EFs'!$M51</f>
        <v>90029.053984649028</v>
      </c>
      <c r="L148" s="111">
        <f>K148*'GWPs &amp; Fuel EFs'!$D$11</f>
        <v>2250726.3496162258</v>
      </c>
      <c r="N148" s="111">
        <f>G148*'GWPs &amp; Fuel EFs'!$M79</f>
        <v>45014.526992324514</v>
      </c>
      <c r="O148" s="111">
        <f>N148*'GWPs &amp; Fuel EFs'!$E$11</f>
        <v>13414329.043712705</v>
      </c>
    </row>
    <row r="149" spans="1:15">
      <c r="A149" s="98"/>
      <c r="B149" s="98"/>
      <c r="D149" s="112" t="s">
        <v>397</v>
      </c>
      <c r="E149" s="113" t="s">
        <v>160</v>
      </c>
      <c r="F149" s="108">
        <f>'EIA Form 923'!T2207-'EIA Form 923'!W2207</f>
        <v>0</v>
      </c>
      <c r="G149" s="108">
        <f>'EIA Form 923'!T2207</f>
        <v>0</v>
      </c>
      <c r="I149" s="111">
        <f>F149*'GWPs &amp; Fuel EFs'!$N24</f>
        <v>0</v>
      </c>
      <c r="K149" s="111">
        <f>G149*'GWPs &amp; Fuel EFs'!$M52</f>
        <v>0</v>
      </c>
      <c r="L149" s="111">
        <f>K149*'GWPs &amp; Fuel EFs'!$D$11</f>
        <v>0</v>
      </c>
      <c r="N149" s="111">
        <f>G149*'GWPs &amp; Fuel EFs'!$M80</f>
        <v>0</v>
      </c>
      <c r="O149" s="111">
        <f>N149*'GWPs &amp; Fuel EFs'!$E$11</f>
        <v>0</v>
      </c>
    </row>
    <row r="150" spans="1:15" s="16" customFormat="1">
      <c r="A150" s="98"/>
      <c r="B150" s="98"/>
      <c r="D150" s="112" t="s">
        <v>450</v>
      </c>
      <c r="E150" s="113" t="s">
        <v>431</v>
      </c>
      <c r="F150" s="108">
        <f>'EIA Form 923'!T2208-'EIA Form 923'!W2208</f>
        <v>0</v>
      </c>
      <c r="G150" s="108">
        <f>'EIA Form 923'!T2208</f>
        <v>0</v>
      </c>
      <c r="H150" s="93"/>
      <c r="I150" s="111">
        <f>F150*'GWPs &amp; Fuel EFs'!$N25</f>
        <v>0</v>
      </c>
      <c r="J150" s="93"/>
      <c r="K150" s="111">
        <f>G150*'GWPs &amp; Fuel EFs'!$M53</f>
        <v>0</v>
      </c>
      <c r="L150" s="111">
        <f>K150*'GWPs &amp; Fuel EFs'!$D$11</f>
        <v>0</v>
      </c>
      <c r="M150" s="93"/>
      <c r="N150" s="111">
        <f>G150*'GWPs &amp; Fuel EFs'!$M81</f>
        <v>0</v>
      </c>
      <c r="O150" s="111">
        <f>N150*'GWPs &amp; Fuel EFs'!$E$11</f>
        <v>0</v>
      </c>
    </row>
    <row r="151" spans="1:15" s="16" customFormat="1">
      <c r="A151" s="98"/>
      <c r="B151" s="98"/>
      <c r="D151" s="112" t="s">
        <v>2657</v>
      </c>
      <c r="E151" s="113" t="s">
        <v>436</v>
      </c>
      <c r="F151" s="108">
        <f>'EIA Form 923'!T2209-'EIA Form 923'!W2209</f>
        <v>0</v>
      </c>
      <c r="G151" s="108">
        <f>'EIA Form 923'!T2209</f>
        <v>0</v>
      </c>
      <c r="H151" s="118"/>
      <c r="I151" s="111">
        <f>F151*'GWPs &amp; Fuel EFs'!$N26</f>
        <v>0</v>
      </c>
      <c r="J151" s="93"/>
      <c r="K151" s="111">
        <f>G151*'GWPs &amp; Fuel EFs'!$M54</f>
        <v>0</v>
      </c>
      <c r="L151" s="111">
        <f>K151*'GWPs &amp; Fuel EFs'!$D$11</f>
        <v>0</v>
      </c>
      <c r="M151" s="93"/>
      <c r="N151" s="111">
        <f>G151*'GWPs &amp; Fuel EFs'!$M82</f>
        <v>0</v>
      </c>
      <c r="O151" s="111">
        <f>N151*'GWPs &amp; Fuel EFs'!$E$11</f>
        <v>0</v>
      </c>
    </row>
    <row r="152" spans="1:15" s="16" customFormat="1">
      <c r="A152" s="98"/>
      <c r="B152" s="98"/>
      <c r="D152" s="112" t="s">
        <v>449</v>
      </c>
      <c r="E152" s="113" t="s">
        <v>70</v>
      </c>
      <c r="F152" s="108">
        <f>'EIA Form 923'!T2210-'EIA Form 923'!W2210</f>
        <v>0</v>
      </c>
      <c r="G152" s="108">
        <f>'EIA Form 923'!T2210</f>
        <v>0</v>
      </c>
      <c r="H152" s="93"/>
      <c r="I152" s="111">
        <f>F152*'GWPs &amp; Fuel EFs'!$N27</f>
        <v>0</v>
      </c>
      <c r="J152" s="93"/>
      <c r="K152" s="111">
        <f>G152*'GWPs &amp; Fuel EFs'!$M55</f>
        <v>0</v>
      </c>
      <c r="L152" s="111">
        <f>K152*'GWPs &amp; Fuel EFs'!$D$11</f>
        <v>0</v>
      </c>
      <c r="M152" s="93"/>
      <c r="N152" s="111">
        <f>G152*'GWPs &amp; Fuel EFs'!$M83</f>
        <v>0</v>
      </c>
      <c r="O152" s="111">
        <f>N152*'GWPs &amp; Fuel EFs'!$E$11</f>
        <v>0</v>
      </c>
    </row>
    <row r="153" spans="1:15" s="16" customFormat="1">
      <c r="A153" s="98"/>
      <c r="B153" s="98"/>
      <c r="D153" s="93"/>
      <c r="E153" s="93"/>
      <c r="F153" s="108"/>
      <c r="G153" s="108"/>
      <c r="H153" s="93"/>
      <c r="I153" s="115">
        <f>SUM(I145:I152)</f>
        <v>4271960048.2684388</v>
      </c>
      <c r="J153" s="93"/>
      <c r="K153" s="93"/>
      <c r="L153" s="114">
        <f>SUM(L145:L152)</f>
        <v>19969776.322927576</v>
      </c>
      <c r="M153" s="93"/>
      <c r="N153" s="93"/>
      <c r="O153" s="114">
        <f>SUM(O145:O152)</f>
        <v>42653726.433139458</v>
      </c>
    </row>
    <row r="154" spans="1:15">
      <c r="A154" s="98"/>
      <c r="B154" s="98"/>
    </row>
    <row r="155" spans="1:15">
      <c r="A155" s="17"/>
      <c r="B155" s="17"/>
      <c r="D155" s="116"/>
      <c r="E155" s="116"/>
      <c r="F155" s="116"/>
      <c r="G155" s="116"/>
      <c r="I155" s="116"/>
      <c r="K155" s="116"/>
      <c r="L155" s="117"/>
      <c r="N155" s="116"/>
      <c r="O155" s="116"/>
    </row>
    <row r="156" spans="1:15" ht="13">
      <c r="A156" s="863" t="s">
        <v>1629</v>
      </c>
      <c r="B156" s="863"/>
      <c r="D156" s="862" t="s">
        <v>231</v>
      </c>
      <c r="E156" s="862"/>
      <c r="F156" s="862"/>
      <c r="G156" s="862"/>
      <c r="I156" s="105" t="s">
        <v>231</v>
      </c>
      <c r="K156" s="862" t="s">
        <v>231</v>
      </c>
      <c r="L156" s="862"/>
      <c r="N156" s="862" t="s">
        <v>231</v>
      </c>
      <c r="O156" s="862"/>
    </row>
    <row r="157" spans="1:15" ht="13">
      <c r="A157" s="863">
        <f>A7</f>
        <v>2019</v>
      </c>
      <c r="B157" s="863"/>
      <c r="D157" s="862" t="s">
        <v>213</v>
      </c>
      <c r="E157" s="862"/>
      <c r="F157" s="862"/>
      <c r="G157" s="862"/>
      <c r="I157" s="105" t="s">
        <v>214</v>
      </c>
      <c r="K157" s="862" t="s">
        <v>215</v>
      </c>
      <c r="L157" s="862"/>
      <c r="N157" s="862" t="s">
        <v>216</v>
      </c>
      <c r="O157" s="862"/>
    </row>
    <row r="158" spans="1:15" s="13" customFormat="1" ht="35.5">
      <c r="A158" s="94"/>
      <c r="B158" s="95" t="s">
        <v>341</v>
      </c>
      <c r="D158" s="107" t="s">
        <v>217</v>
      </c>
      <c r="E158" s="107" t="s">
        <v>218</v>
      </c>
      <c r="F158" s="107" t="s">
        <v>2667</v>
      </c>
      <c r="G158" s="107" t="s">
        <v>2668</v>
      </c>
      <c r="H158" s="93"/>
      <c r="I158" s="92" t="s">
        <v>339</v>
      </c>
      <c r="J158" s="106"/>
      <c r="K158" s="90" t="s">
        <v>340</v>
      </c>
      <c r="L158" s="91" t="s">
        <v>341</v>
      </c>
      <c r="M158" s="106"/>
      <c r="N158" s="90" t="s">
        <v>342</v>
      </c>
      <c r="O158" s="91" t="s">
        <v>341</v>
      </c>
    </row>
    <row r="159" spans="1:15" ht="24.75" customHeight="1">
      <c r="A159" s="96" t="s">
        <v>220</v>
      </c>
      <c r="B159" s="97">
        <f>SUM(B160:B165)</f>
        <v>6310811013.4122381</v>
      </c>
      <c r="D159" s="90" t="s">
        <v>221</v>
      </c>
      <c r="E159" s="90"/>
      <c r="F159" s="107" t="s">
        <v>2669</v>
      </c>
      <c r="G159" s="107" t="s">
        <v>2670</v>
      </c>
      <c r="K159" s="106"/>
      <c r="L159" s="106"/>
      <c r="N159" s="106"/>
      <c r="O159" s="106"/>
    </row>
    <row r="160" spans="1:15">
      <c r="A160" s="98" t="s">
        <v>2671</v>
      </c>
      <c r="B160" s="99">
        <f>I173</f>
        <v>182580.27909439997</v>
      </c>
      <c r="D160" s="109" t="s">
        <v>400</v>
      </c>
      <c r="E160" s="110" t="s">
        <v>45</v>
      </c>
      <c r="F160" s="108">
        <f>'EIA Form 923'!T2214-'EIA Form 923'!W2214</f>
        <v>0</v>
      </c>
      <c r="G160" s="108">
        <f>'EIA Form 923'!T2214</f>
        <v>0</v>
      </c>
      <c r="I160" s="111">
        <f>F160*'GWPs &amp; Fuel EFs'!$N5</f>
        <v>0</v>
      </c>
      <c r="K160" s="111">
        <f>G160*'GWPs &amp; Fuel EFs'!$M33</f>
        <v>0</v>
      </c>
      <c r="L160" s="111">
        <f>K160*'GWPs &amp; Fuel EFs'!$D$11</f>
        <v>0</v>
      </c>
      <c r="N160" s="111">
        <f>G160*'GWPs &amp; Fuel EFs'!$M61</f>
        <v>0</v>
      </c>
      <c r="O160" s="111">
        <f>N160*'GWPs &amp; Fuel EFs'!$E$11</f>
        <v>0</v>
      </c>
    </row>
    <row r="161" spans="1:15">
      <c r="A161" s="98" t="s">
        <v>2672</v>
      </c>
      <c r="B161" s="100">
        <f>'EPA Part 75'!I361*2000</f>
        <v>6302977198.000001</v>
      </c>
      <c r="D161" s="109" t="s">
        <v>401</v>
      </c>
      <c r="E161" s="110" t="s">
        <v>50</v>
      </c>
      <c r="F161" s="108">
        <f>'EIA Form 923'!T2215-'EIA Form 923'!W2215</f>
        <v>0</v>
      </c>
      <c r="G161" s="108">
        <f>'EIA Form 923'!T2215</f>
        <v>0</v>
      </c>
      <c r="I161" s="111">
        <f>F161*'GWPs &amp; Fuel EFs'!$N6</f>
        <v>0</v>
      </c>
      <c r="K161" s="111">
        <f>G161*'GWPs &amp; Fuel EFs'!$M34</f>
        <v>0</v>
      </c>
      <c r="L161" s="111">
        <f>K161*'GWPs &amp; Fuel EFs'!$D$11</f>
        <v>0</v>
      </c>
      <c r="N161" s="111">
        <f>G161*'GWPs &amp; Fuel EFs'!$M62</f>
        <v>0</v>
      </c>
      <c r="O161" s="111">
        <f>N161*'GWPs &amp; Fuel EFs'!$E$11</f>
        <v>0</v>
      </c>
    </row>
    <row r="162" spans="1:15">
      <c r="A162" s="98" t="s">
        <v>222</v>
      </c>
      <c r="B162" s="99">
        <f>L173</f>
        <v>2935299.5375197246</v>
      </c>
      <c r="D162" s="109" t="s">
        <v>389</v>
      </c>
      <c r="E162" s="110" t="s">
        <v>48</v>
      </c>
      <c r="F162" s="108">
        <f>'EIA Form 923'!T2216-'EIA Form 923'!W2216</f>
        <v>1132</v>
      </c>
      <c r="G162" s="108">
        <f>'EIA Form 923'!T2216</f>
        <v>78033</v>
      </c>
      <c r="I162" s="111">
        <f>F162*'GWPs &amp; Fuel EFs'!$N7</f>
        <v>182580.27909439997</v>
      </c>
      <c r="K162" s="111">
        <f>G162*'GWPs &amp; Fuel EFs'!$M35</f>
        <v>516.09995071937999</v>
      </c>
      <c r="L162" s="111">
        <f>K162*'GWPs &amp; Fuel EFs'!$D$11</f>
        <v>12902.4987679845</v>
      </c>
      <c r="N162" s="111">
        <f>G162*'GWPs &amp; Fuel EFs'!$M63</f>
        <v>103.21999014387599</v>
      </c>
      <c r="O162" s="111">
        <f>N162*'GWPs &amp; Fuel EFs'!$E$11</f>
        <v>30759.557062875047</v>
      </c>
    </row>
    <row r="163" spans="1:15">
      <c r="A163" s="98" t="s">
        <v>223</v>
      </c>
      <c r="B163" s="99">
        <f>O173</f>
        <v>3514256.8272549491</v>
      </c>
      <c r="D163" s="109" t="s">
        <v>388</v>
      </c>
      <c r="E163" s="110" t="s">
        <v>41</v>
      </c>
      <c r="F163" s="108">
        <f>'EIA Form 923'!T2217-'EIA Form 923'!W2217</f>
        <v>0</v>
      </c>
      <c r="G163" s="108">
        <f>'EIA Form 923'!T2217</f>
        <v>53023080</v>
      </c>
      <c r="I163" s="111">
        <f>F163*'GWPs &amp; Fuel EFs'!$N8</f>
        <v>0</v>
      </c>
      <c r="K163" s="111">
        <f>G163*'GWPs &amp; Fuel EFs'!$M36</f>
        <v>116895.88155006959</v>
      </c>
      <c r="L163" s="111">
        <f>K163*'GWPs &amp; Fuel EFs'!$D$11</f>
        <v>2922397.03875174</v>
      </c>
      <c r="N163" s="111">
        <f>G163*'GWPs &amp; Fuel EFs'!$M64</f>
        <v>11689.588155006961</v>
      </c>
      <c r="O163" s="111">
        <f>N163*'GWPs &amp; Fuel EFs'!$E$11</f>
        <v>3483497.2701920741</v>
      </c>
    </row>
    <row r="164" spans="1:15">
      <c r="A164" s="98" t="s">
        <v>224</v>
      </c>
      <c r="B164" s="99">
        <f>L183</f>
        <v>359058.42036853917</v>
      </c>
      <c r="D164" s="109" t="s">
        <v>402</v>
      </c>
      <c r="E164" s="110" t="s">
        <v>19</v>
      </c>
      <c r="F164" s="108">
        <f>'EIA Form 923'!T2218-'EIA Form 923'!W2218</f>
        <v>0</v>
      </c>
      <c r="G164" s="108">
        <f>'EIA Form 923'!T2218</f>
        <v>0</v>
      </c>
      <c r="I164" s="111">
        <f>F164*'GWPs &amp; Fuel EFs'!$N9</f>
        <v>0</v>
      </c>
      <c r="K164" s="111">
        <f>G164*'GWPs &amp; Fuel EFs'!$M37</f>
        <v>0</v>
      </c>
      <c r="L164" s="111">
        <f>K164*'GWPs &amp; Fuel EFs'!$D$11</f>
        <v>0</v>
      </c>
      <c r="N164" s="111">
        <f>G164*'GWPs &amp; Fuel EFs'!$M65</f>
        <v>0</v>
      </c>
      <c r="O164" s="111">
        <f>N164*'GWPs &amp; Fuel EFs'!$E$11</f>
        <v>0</v>
      </c>
    </row>
    <row r="165" spans="1:15">
      <c r="A165" s="98" t="s">
        <v>225</v>
      </c>
      <c r="B165" s="99">
        <f>O183</f>
        <v>842620.34799986938</v>
      </c>
      <c r="D165" s="109" t="s">
        <v>403</v>
      </c>
      <c r="E165" s="110" t="s">
        <v>84</v>
      </c>
      <c r="F165" s="108">
        <f>'EIA Form 923'!T2219-'EIA Form 923'!W2219</f>
        <v>0</v>
      </c>
      <c r="G165" s="108">
        <f>'EIA Form 923'!T2219</f>
        <v>0</v>
      </c>
      <c r="I165" s="111">
        <f>F165*'GWPs &amp; Fuel EFs'!$N10</f>
        <v>0</v>
      </c>
      <c r="K165" s="111">
        <f>G165*'GWPs &amp; Fuel EFs'!$M38</f>
        <v>0</v>
      </c>
      <c r="L165" s="111">
        <f>K165*'GWPs &amp; Fuel EFs'!$D$11</f>
        <v>0</v>
      </c>
      <c r="N165" s="111">
        <f>G165*'GWPs &amp; Fuel EFs'!$M66</f>
        <v>0</v>
      </c>
      <c r="O165" s="111">
        <f>N165*'GWPs &amp; Fuel EFs'!$E$11</f>
        <v>0</v>
      </c>
    </row>
    <row r="166" spans="1:15">
      <c r="A166" s="98"/>
      <c r="B166" s="98"/>
      <c r="D166" s="109" t="s">
        <v>398</v>
      </c>
      <c r="E166" s="110" t="s">
        <v>410</v>
      </c>
      <c r="F166" s="108">
        <f>'EIA Form 923'!T2220-'EIA Form 923'!W2220</f>
        <v>0</v>
      </c>
      <c r="G166" s="108">
        <f>'EIA Form 923'!T2220</f>
        <v>0</v>
      </c>
      <c r="I166" s="111">
        <f>F166*'GWPs &amp; Fuel EFs'!$N11</f>
        <v>0</v>
      </c>
      <c r="K166" s="111">
        <f>G166*'GWPs &amp; Fuel EFs'!$M39</f>
        <v>0</v>
      </c>
      <c r="L166" s="111">
        <f>K166*'GWPs &amp; Fuel EFs'!$D$11</f>
        <v>0</v>
      </c>
      <c r="N166" s="111">
        <f>G166*'GWPs &amp; Fuel EFs'!$M67</f>
        <v>0</v>
      </c>
      <c r="O166" s="111">
        <f>N166*'GWPs &amp; Fuel EFs'!$E$11</f>
        <v>0</v>
      </c>
    </row>
    <row r="167" spans="1:15">
      <c r="A167" s="98"/>
      <c r="B167" s="98"/>
      <c r="D167" s="109" t="s">
        <v>391</v>
      </c>
      <c r="E167" s="110" t="s">
        <v>67</v>
      </c>
      <c r="F167" s="108">
        <f>'EIA Form 923'!T2221-'EIA Form 923'!W2221</f>
        <v>0</v>
      </c>
      <c r="G167" s="108">
        <f>'EIA Form 923'!T2221</f>
        <v>0</v>
      </c>
      <c r="I167" s="111">
        <f>F167*'GWPs &amp; Fuel EFs'!$N12</f>
        <v>0</v>
      </c>
      <c r="K167" s="111">
        <f>G167*'GWPs &amp; Fuel EFs'!$M40</f>
        <v>0</v>
      </c>
      <c r="L167" s="111">
        <f>K167*'GWPs &amp; Fuel EFs'!$D$11</f>
        <v>0</v>
      </c>
      <c r="N167" s="111">
        <f>G167*'GWPs &amp; Fuel EFs'!$M68</f>
        <v>0</v>
      </c>
      <c r="O167" s="111">
        <f>N167*'GWPs &amp; Fuel EFs'!$E$11</f>
        <v>0</v>
      </c>
    </row>
    <row r="168" spans="1:15">
      <c r="A168" s="98"/>
      <c r="B168" s="98"/>
      <c r="D168" s="109" t="s">
        <v>390</v>
      </c>
      <c r="E168" s="110" t="s">
        <v>63</v>
      </c>
      <c r="F168" s="108">
        <f>'EIA Form 923'!T2222-'EIA Form 923'!W2222</f>
        <v>0</v>
      </c>
      <c r="G168" s="108">
        <f>'EIA Form 923'!T2222</f>
        <v>0</v>
      </c>
      <c r="I168" s="111">
        <f>F168*'GWPs &amp; Fuel EFs'!$N13</f>
        <v>0</v>
      </c>
      <c r="K168" s="111">
        <f>G168*'GWPs &amp; Fuel EFs'!$M41</f>
        <v>0</v>
      </c>
      <c r="L168" s="111">
        <f>K168*'GWPs &amp; Fuel EFs'!$D$11</f>
        <v>0</v>
      </c>
      <c r="N168" s="111">
        <f>G168*'GWPs &amp; Fuel EFs'!$M69</f>
        <v>0</v>
      </c>
      <c r="O168" s="111">
        <f>N168*'GWPs &amp; Fuel EFs'!$E$11</f>
        <v>0</v>
      </c>
    </row>
    <row r="169" spans="1:15">
      <c r="A169" s="98"/>
      <c r="B169" s="98"/>
      <c r="D169" s="109" t="s">
        <v>392</v>
      </c>
      <c r="E169" s="110" t="s">
        <v>68</v>
      </c>
      <c r="F169" s="108">
        <f>'EIA Form 923'!T2223-'EIA Form 923'!W2223</f>
        <v>0</v>
      </c>
      <c r="G169" s="108">
        <f>'EIA Form 923'!T2223</f>
        <v>0</v>
      </c>
      <c r="I169" s="111">
        <f>F169*'GWPs &amp; Fuel EFs'!$N14</f>
        <v>0</v>
      </c>
      <c r="K169" s="111">
        <f>G169*'GWPs &amp; Fuel EFs'!$M42</f>
        <v>0</v>
      </c>
      <c r="L169" s="111">
        <f>K169*'GWPs &amp; Fuel EFs'!$D$11</f>
        <v>0</v>
      </c>
      <c r="N169" s="111">
        <f>G169*'GWPs &amp; Fuel EFs'!$M70</f>
        <v>0</v>
      </c>
      <c r="O169" s="111">
        <f>N169*'GWPs &amp; Fuel EFs'!$E$11</f>
        <v>0</v>
      </c>
    </row>
    <row r="170" spans="1:15">
      <c r="A170" s="98"/>
      <c r="B170" s="98"/>
      <c r="D170" s="109" t="s">
        <v>393</v>
      </c>
      <c r="E170" s="110" t="s">
        <v>78</v>
      </c>
      <c r="F170" s="108">
        <f>'EIA Form 923'!T2224-'EIA Form 923'!W2224</f>
        <v>0</v>
      </c>
      <c r="G170" s="108">
        <f>'EIA Form 923'!T2224</f>
        <v>0</v>
      </c>
      <c r="I170" s="111">
        <f>F170*'GWPs &amp; Fuel EFs'!$N15</f>
        <v>0</v>
      </c>
      <c r="K170" s="111">
        <f>G170*'GWPs &amp; Fuel EFs'!$M43</f>
        <v>0</v>
      </c>
      <c r="L170" s="111">
        <f>K170*'GWPs &amp; Fuel EFs'!$D$11</f>
        <v>0</v>
      </c>
      <c r="N170" s="111">
        <f>G170*'GWPs &amp; Fuel EFs'!$M71</f>
        <v>0</v>
      </c>
      <c r="O170" s="111">
        <f>N170*'GWPs &amp; Fuel EFs'!$E$11</f>
        <v>0</v>
      </c>
    </row>
    <row r="171" spans="1:15">
      <c r="A171" s="98"/>
      <c r="B171" s="98"/>
      <c r="D171" s="109" t="s">
        <v>394</v>
      </c>
      <c r="E171" s="110" t="s">
        <v>75</v>
      </c>
      <c r="F171" s="108">
        <f>'EIA Form 923'!T2225-'EIA Form 923'!W2225</f>
        <v>0</v>
      </c>
      <c r="G171" s="108">
        <f>'EIA Form 923'!T2225</f>
        <v>0</v>
      </c>
      <c r="I171" s="111">
        <f>F171*'GWPs &amp; Fuel EFs'!$N16</f>
        <v>0</v>
      </c>
      <c r="K171" s="111">
        <f>G171*'GWPs &amp; Fuel EFs'!$M44</f>
        <v>0</v>
      </c>
      <c r="L171" s="111">
        <f>K171*'GWPs &amp; Fuel EFs'!$D$11</f>
        <v>0</v>
      </c>
      <c r="N171" s="111">
        <f>G171*'GWPs &amp; Fuel EFs'!$M72</f>
        <v>0</v>
      </c>
      <c r="O171" s="111">
        <f>N171*'GWPs &amp; Fuel EFs'!$E$11</f>
        <v>0</v>
      </c>
    </row>
    <row r="172" spans="1:15">
      <c r="A172" s="98"/>
      <c r="B172" s="98"/>
      <c r="D172" s="109" t="s">
        <v>448</v>
      </c>
      <c r="E172" s="110" t="s">
        <v>439</v>
      </c>
      <c r="F172" s="108">
        <f>'EIA Form 923'!T2226-'EIA Form 923'!W2226</f>
        <v>0</v>
      </c>
      <c r="G172" s="108">
        <f>'EIA Form 923'!T2226</f>
        <v>0</v>
      </c>
      <c r="I172" s="111">
        <f>F172*'GWPs &amp; Fuel EFs'!$N17</f>
        <v>0</v>
      </c>
      <c r="K172" s="111">
        <f>G172*'GWPs &amp; Fuel EFs'!$M45</f>
        <v>0</v>
      </c>
      <c r="L172" s="111">
        <f>K172*'GWPs &amp; Fuel EFs'!$D$11</f>
        <v>0</v>
      </c>
      <c r="N172" s="111">
        <f>G172*'GWPs &amp; Fuel EFs'!$M73</f>
        <v>0</v>
      </c>
      <c r="O172" s="111">
        <f>N172*'GWPs &amp; Fuel EFs'!$E$11</f>
        <v>0</v>
      </c>
    </row>
    <row r="173" spans="1:15">
      <c r="A173" s="98"/>
      <c r="B173" s="98"/>
      <c r="D173" s="109"/>
      <c r="F173" s="108"/>
      <c r="G173" s="108"/>
      <c r="I173" s="114">
        <f>SUM(I160:I172)</f>
        <v>182580.27909439997</v>
      </c>
      <c r="K173" s="111"/>
      <c r="L173" s="114">
        <f>SUM(L160:L172)</f>
        <v>2935299.5375197246</v>
      </c>
      <c r="N173" s="111"/>
      <c r="O173" s="114">
        <f>SUM(O160:O172)</f>
        <v>3514256.8272549491</v>
      </c>
    </row>
    <row r="174" spans="1:15" ht="13">
      <c r="A174" s="101" t="s">
        <v>226</v>
      </c>
      <c r="B174" s="97">
        <f>I183</f>
        <v>233702149.35737294</v>
      </c>
      <c r="D174" s="90" t="s">
        <v>227</v>
      </c>
      <c r="F174" s="108"/>
      <c r="G174" s="108"/>
      <c r="I174" s="114"/>
      <c r="K174" s="111"/>
      <c r="L174" s="114"/>
      <c r="N174" s="111"/>
      <c r="O174" s="114"/>
    </row>
    <row r="175" spans="1:15">
      <c r="A175" s="98"/>
      <c r="B175" s="98"/>
      <c r="D175" s="112" t="s">
        <v>396</v>
      </c>
      <c r="E175" s="113" t="s">
        <v>65</v>
      </c>
      <c r="F175" s="108">
        <f>'EIA Form 923'!T2228-'EIA Form 923'!W2228</f>
        <v>2035827</v>
      </c>
      <c r="G175" s="108">
        <f>'EIA Form 923'!T2228</f>
        <v>2035827</v>
      </c>
      <c r="I175" s="111">
        <f>F175*'GWPs &amp; Fuel EFs'!$N20</f>
        <v>233702149.35737294</v>
      </c>
      <c r="K175" s="111">
        <f>G175*'GWPs &amp; Fuel EFs'!$M48</f>
        <v>14362.336814741568</v>
      </c>
      <c r="L175" s="111">
        <f>K175*'GWPs &amp; Fuel EFs'!$D$11</f>
        <v>359058.42036853917</v>
      </c>
      <c r="N175" s="111">
        <f>G175*'GWPs &amp; Fuel EFs'!$M76</f>
        <v>2827.5850604022462</v>
      </c>
      <c r="O175" s="111">
        <f>N175*'GWPs &amp; Fuel EFs'!$E$11</f>
        <v>842620.34799986938</v>
      </c>
    </row>
    <row r="176" spans="1:15">
      <c r="A176" s="98"/>
      <c r="B176" s="100"/>
      <c r="D176" s="112" t="s">
        <v>399</v>
      </c>
      <c r="E176" s="113" t="s">
        <v>18</v>
      </c>
      <c r="F176" s="108">
        <f>'EIA Form 923'!T2229-'EIA Form 923'!W2229</f>
        <v>0</v>
      </c>
      <c r="G176" s="108">
        <f>'EIA Form 923'!T2229</f>
        <v>0</v>
      </c>
      <c r="I176" s="111">
        <f>F176*'GWPs &amp; Fuel EFs'!$N21</f>
        <v>0</v>
      </c>
      <c r="K176" s="111">
        <f>G176*'GWPs &amp; Fuel EFs'!$M49</f>
        <v>0</v>
      </c>
      <c r="L176" s="111">
        <f>K176*'GWPs &amp; Fuel EFs'!$D$11</f>
        <v>0</v>
      </c>
      <c r="N176" s="111">
        <f>G176*'GWPs &amp; Fuel EFs'!$M77</f>
        <v>0</v>
      </c>
      <c r="O176" s="111">
        <f>N176*'GWPs &amp; Fuel EFs'!$E$11</f>
        <v>0</v>
      </c>
    </row>
    <row r="177" spans="1:15">
      <c r="A177" s="98"/>
      <c r="B177" s="98"/>
      <c r="D177" s="112" t="s">
        <v>395</v>
      </c>
      <c r="E177" s="113" t="s">
        <v>159</v>
      </c>
      <c r="F177" s="108">
        <f>'EIA Form 923'!T2230-'EIA Form 923'!W2230</f>
        <v>0</v>
      </c>
      <c r="G177" s="108">
        <f>'EIA Form 923'!T2230</f>
        <v>0</v>
      </c>
      <c r="I177" s="111">
        <f>F177*'GWPs &amp; Fuel EFs'!$N22</f>
        <v>0</v>
      </c>
      <c r="K177" s="111">
        <f>G177*'GWPs &amp; Fuel EFs'!$M50</f>
        <v>0</v>
      </c>
      <c r="L177" s="111">
        <f>K177*'GWPs &amp; Fuel EFs'!$D$11</f>
        <v>0</v>
      </c>
      <c r="N177" s="111">
        <f>G177*'GWPs &amp; Fuel EFs'!$M78</f>
        <v>0</v>
      </c>
      <c r="O177" s="111">
        <f>N177*'GWPs &amp; Fuel EFs'!$E$11</f>
        <v>0</v>
      </c>
    </row>
    <row r="178" spans="1:15">
      <c r="A178" s="98"/>
      <c r="B178" s="98"/>
      <c r="D178" s="112" t="s">
        <v>404</v>
      </c>
      <c r="E178" s="113" t="s">
        <v>71</v>
      </c>
      <c r="F178" s="108">
        <f>'EIA Form 923'!T2231-'EIA Form 923'!W2231</f>
        <v>0</v>
      </c>
      <c r="G178" s="108">
        <f>'EIA Form 923'!T2231</f>
        <v>0</v>
      </c>
      <c r="I178" s="111">
        <f>F178*'GWPs &amp; Fuel EFs'!$N23</f>
        <v>0</v>
      </c>
      <c r="K178" s="111">
        <f>G178*'GWPs &amp; Fuel EFs'!$M51</f>
        <v>0</v>
      </c>
      <c r="L178" s="111">
        <f>K178*'GWPs &amp; Fuel EFs'!$D$11</f>
        <v>0</v>
      </c>
      <c r="N178" s="111">
        <f>G178*'GWPs &amp; Fuel EFs'!$M79</f>
        <v>0</v>
      </c>
      <c r="O178" s="111">
        <f>N178*'GWPs &amp; Fuel EFs'!$E$11</f>
        <v>0</v>
      </c>
    </row>
    <row r="179" spans="1:15">
      <c r="A179" s="98"/>
      <c r="B179" s="100"/>
      <c r="D179" s="112" t="s">
        <v>397</v>
      </c>
      <c r="E179" s="113" t="s">
        <v>160</v>
      </c>
      <c r="F179" s="108">
        <f>'EIA Form 923'!T2232-'EIA Form 923'!W2232</f>
        <v>0</v>
      </c>
      <c r="G179" s="108">
        <f>'EIA Form 923'!T2232</f>
        <v>0</v>
      </c>
      <c r="I179" s="111">
        <f>F179*'GWPs &amp; Fuel EFs'!$N24</f>
        <v>0</v>
      </c>
      <c r="K179" s="111">
        <f>G179*'GWPs &amp; Fuel EFs'!$M52</f>
        <v>0</v>
      </c>
      <c r="L179" s="111">
        <f>K179*'GWPs &amp; Fuel EFs'!$D$11</f>
        <v>0</v>
      </c>
      <c r="N179" s="111">
        <f>G179*'GWPs &amp; Fuel EFs'!$M80</f>
        <v>0</v>
      </c>
      <c r="O179" s="111">
        <f>N179*'GWPs &amp; Fuel EFs'!$E$11</f>
        <v>0</v>
      </c>
    </row>
    <row r="180" spans="1:15">
      <c r="A180" s="98"/>
      <c r="B180" s="100"/>
      <c r="D180" s="112" t="s">
        <v>450</v>
      </c>
      <c r="E180" s="113" t="s">
        <v>431</v>
      </c>
      <c r="F180" s="108">
        <f>'EIA Form 923'!T2233-'EIA Form 923'!W2233</f>
        <v>0</v>
      </c>
      <c r="G180" s="108">
        <f>'EIA Form 923'!T2233</f>
        <v>0</v>
      </c>
      <c r="I180" s="111">
        <f>F180*'GWPs &amp; Fuel EFs'!$N25</f>
        <v>0</v>
      </c>
      <c r="K180" s="111">
        <f>G180*'GWPs &amp; Fuel EFs'!$M53</f>
        <v>0</v>
      </c>
      <c r="L180" s="111">
        <f>K180*'GWPs &amp; Fuel EFs'!$D$11</f>
        <v>0</v>
      </c>
      <c r="N180" s="111">
        <f>G180*'GWPs &amp; Fuel EFs'!$M81</f>
        <v>0</v>
      </c>
      <c r="O180" s="111">
        <f>N180*'GWPs &amp; Fuel EFs'!$E$11</f>
        <v>0</v>
      </c>
    </row>
    <row r="181" spans="1:15">
      <c r="A181" s="98"/>
      <c r="B181" s="100"/>
      <c r="D181" s="112" t="s">
        <v>2657</v>
      </c>
      <c r="E181" s="113" t="s">
        <v>436</v>
      </c>
      <c r="F181" s="108">
        <f>'EIA Form 923'!T2234-'EIA Form 923'!W2234</f>
        <v>0</v>
      </c>
      <c r="G181" s="108">
        <f>'EIA Form 923'!T2234</f>
        <v>0</v>
      </c>
      <c r="H181" s="118"/>
      <c r="I181" s="111">
        <f>F181*'GWPs &amp; Fuel EFs'!$N26</f>
        <v>0</v>
      </c>
      <c r="K181" s="111">
        <f>G181*'GWPs &amp; Fuel EFs'!$M54</f>
        <v>0</v>
      </c>
      <c r="L181" s="111">
        <f>K181*'GWPs &amp; Fuel EFs'!$D$11</f>
        <v>0</v>
      </c>
      <c r="N181" s="111">
        <f>G181*'GWPs &amp; Fuel EFs'!$M82</f>
        <v>0</v>
      </c>
      <c r="O181" s="111">
        <f>N181*'GWPs &amp; Fuel EFs'!$E$11</f>
        <v>0</v>
      </c>
    </row>
    <row r="182" spans="1:15">
      <c r="A182" s="98"/>
      <c r="B182" s="100"/>
      <c r="D182" s="112" t="s">
        <v>449</v>
      </c>
      <c r="E182" s="113" t="s">
        <v>70</v>
      </c>
      <c r="F182" s="108">
        <f>'EIA Form 923'!T2235-'EIA Form 923'!W2235</f>
        <v>0</v>
      </c>
      <c r="G182" s="108">
        <f>'EIA Form 923'!T2235</f>
        <v>0</v>
      </c>
      <c r="I182" s="111">
        <f>F182*'GWPs &amp; Fuel EFs'!$N27</f>
        <v>0</v>
      </c>
      <c r="K182" s="111">
        <f>G182*'GWPs &amp; Fuel EFs'!$M55</f>
        <v>0</v>
      </c>
      <c r="L182" s="111">
        <f>K182*'GWPs &amp; Fuel EFs'!$D$11</f>
        <v>0</v>
      </c>
      <c r="N182" s="111">
        <f>G182*'GWPs &amp; Fuel EFs'!$M83</f>
        <v>0</v>
      </c>
      <c r="O182" s="111">
        <f>N182*'GWPs &amp; Fuel EFs'!$E$11</f>
        <v>0</v>
      </c>
    </row>
    <row r="183" spans="1:15">
      <c r="A183" s="98"/>
      <c r="B183" s="100"/>
      <c r="D183" s="112"/>
      <c r="F183" s="108"/>
      <c r="G183" s="108"/>
      <c r="I183" s="115">
        <f>SUM(I175:I182)</f>
        <v>233702149.35737294</v>
      </c>
      <c r="L183" s="114">
        <f>SUM(L175:L182)</f>
        <v>359058.42036853917</v>
      </c>
      <c r="O183" s="114">
        <f>SUM(O175:O182)</f>
        <v>842620.34799986938</v>
      </c>
    </row>
    <row r="184" spans="1:15">
      <c r="A184" s="98"/>
      <c r="B184" s="98"/>
    </row>
    <row r="185" spans="1:15">
      <c r="A185" s="17"/>
      <c r="B185" s="17"/>
      <c r="D185" s="116"/>
      <c r="E185" s="116"/>
      <c r="F185" s="116"/>
      <c r="G185" s="116"/>
      <c r="I185" s="116"/>
      <c r="K185" s="116"/>
      <c r="L185" s="116"/>
      <c r="N185" s="116"/>
      <c r="O185" s="116"/>
    </row>
    <row r="186" spans="1:15" ht="13">
      <c r="A186" s="863" t="s">
        <v>1630</v>
      </c>
      <c r="B186" s="863"/>
      <c r="D186" s="862" t="s">
        <v>230</v>
      </c>
      <c r="E186" s="862"/>
      <c r="F186" s="862"/>
      <c r="G186" s="862"/>
      <c r="I186" s="105" t="s">
        <v>230</v>
      </c>
      <c r="K186" s="862" t="s">
        <v>230</v>
      </c>
      <c r="L186" s="862"/>
      <c r="N186" s="862" t="s">
        <v>230</v>
      </c>
      <c r="O186" s="862"/>
    </row>
    <row r="187" spans="1:15" ht="13">
      <c r="A187" s="863">
        <f>A7</f>
        <v>2019</v>
      </c>
      <c r="B187" s="863"/>
      <c r="C187" s="18"/>
      <c r="D187" s="862" t="s">
        <v>213</v>
      </c>
      <c r="E187" s="862"/>
      <c r="F187" s="862"/>
      <c r="G187" s="862"/>
      <c r="I187" s="105" t="s">
        <v>214</v>
      </c>
      <c r="K187" s="862" t="s">
        <v>215</v>
      </c>
      <c r="L187" s="862"/>
      <c r="N187" s="862" t="s">
        <v>216</v>
      </c>
      <c r="O187" s="862"/>
    </row>
    <row r="188" spans="1:15" s="13" customFormat="1" ht="35.5">
      <c r="A188" s="94"/>
      <c r="B188" s="95" t="s">
        <v>341</v>
      </c>
      <c r="D188" s="107" t="s">
        <v>217</v>
      </c>
      <c r="E188" s="107" t="s">
        <v>218</v>
      </c>
      <c r="F188" s="107" t="s">
        <v>2667</v>
      </c>
      <c r="G188" s="107" t="s">
        <v>2668</v>
      </c>
      <c r="H188" s="93"/>
      <c r="I188" s="92" t="s">
        <v>339</v>
      </c>
      <c r="J188" s="106"/>
      <c r="K188" s="90" t="s">
        <v>340</v>
      </c>
      <c r="L188" s="91" t="s">
        <v>341</v>
      </c>
      <c r="M188" s="106"/>
      <c r="N188" s="90" t="s">
        <v>342</v>
      </c>
      <c r="O188" s="91" t="s">
        <v>341</v>
      </c>
    </row>
    <row r="189" spans="1:15" ht="24" customHeight="1">
      <c r="A189" s="96" t="s">
        <v>220</v>
      </c>
      <c r="B189" s="97">
        <f>SUM(B190:B195)</f>
        <v>20072950.528978765</v>
      </c>
      <c r="C189" s="18"/>
      <c r="D189" s="90" t="s">
        <v>221</v>
      </c>
      <c r="E189" s="90"/>
      <c r="F189" s="107" t="s">
        <v>2669</v>
      </c>
      <c r="G189" s="107" t="s">
        <v>2670</v>
      </c>
      <c r="K189" s="106"/>
      <c r="L189" s="106"/>
      <c r="N189" s="106"/>
      <c r="O189" s="106"/>
    </row>
    <row r="190" spans="1:15">
      <c r="A190" s="98" t="s">
        <v>2671</v>
      </c>
      <c r="B190" s="99">
        <f>I203</f>
        <v>4092748.1920071999</v>
      </c>
      <c r="C190" s="18"/>
      <c r="D190" s="109" t="s">
        <v>400</v>
      </c>
      <c r="E190" s="110" t="s">
        <v>45</v>
      </c>
      <c r="F190" s="108">
        <f>'EIA Form 923'!T2239-'EIA Form 923'!W2239</f>
        <v>0</v>
      </c>
      <c r="G190" s="108">
        <f>'EIA Form 923'!T2239</f>
        <v>0</v>
      </c>
      <c r="I190" s="111">
        <f>F190*'GWPs &amp; Fuel EFs'!$N5</f>
        <v>0</v>
      </c>
      <c r="K190" s="111">
        <f>G190*'GWPs &amp; Fuel EFs'!$M33</f>
        <v>0</v>
      </c>
      <c r="L190" s="111">
        <f>K190*'GWPs &amp; Fuel EFs'!$D$11</f>
        <v>0</v>
      </c>
      <c r="N190" s="111">
        <f>G190*'GWPs &amp; Fuel EFs'!$M61</f>
        <v>0</v>
      </c>
      <c r="O190" s="111">
        <f>N190*'GWPs &amp; Fuel EFs'!$E$11</f>
        <v>0</v>
      </c>
    </row>
    <row r="191" spans="1:15">
      <c r="A191" s="98" t="s">
        <v>2672</v>
      </c>
      <c r="B191" s="100">
        <f>'EPA Part 75'!I362*2000</f>
        <v>1091000</v>
      </c>
      <c r="C191" s="18"/>
      <c r="D191" s="109" t="s">
        <v>401</v>
      </c>
      <c r="E191" s="110" t="s">
        <v>50</v>
      </c>
      <c r="F191" s="108">
        <f>'EIA Form 923'!T2240-'EIA Form 923'!W2240</f>
        <v>0</v>
      </c>
      <c r="G191" s="108">
        <f>'EIA Form 923'!T2240</f>
        <v>0</v>
      </c>
      <c r="I191" s="111">
        <f>F191*'GWPs &amp; Fuel EFs'!$N6</f>
        <v>0</v>
      </c>
      <c r="K191" s="111">
        <f>G191*'GWPs &amp; Fuel EFs'!$M34</f>
        <v>0</v>
      </c>
      <c r="L191" s="111">
        <f>K191*'GWPs &amp; Fuel EFs'!$D$11</f>
        <v>0</v>
      </c>
      <c r="N191" s="111">
        <f>G191*'GWPs &amp; Fuel EFs'!$M62</f>
        <v>0</v>
      </c>
      <c r="O191" s="111">
        <f>N191*'GWPs &amp; Fuel EFs'!$E$11</f>
        <v>0</v>
      </c>
    </row>
    <row r="192" spans="1:15">
      <c r="A192" s="98" t="s">
        <v>222</v>
      </c>
      <c r="B192" s="99">
        <f>L203</f>
        <v>4289.5893472994994</v>
      </c>
      <c r="C192" s="18"/>
      <c r="D192" s="109" t="s">
        <v>389</v>
      </c>
      <c r="E192" s="110" t="s">
        <v>48</v>
      </c>
      <c r="F192" s="108">
        <f>'EIA Form 923'!T2241-'EIA Form 923'!W2241</f>
        <v>16061</v>
      </c>
      <c r="G192" s="108">
        <f>'EIA Form 923'!T2241</f>
        <v>17568</v>
      </c>
      <c r="I192" s="111">
        <f>F192*'GWPs &amp; Fuel EFs'!$N7</f>
        <v>2590478.6771511999</v>
      </c>
      <c r="K192" s="111">
        <f>G192*'GWPs &amp; Fuel EFs'!$M35</f>
        <v>116.19243056447999</v>
      </c>
      <c r="L192" s="111">
        <f>K192*'GWPs &amp; Fuel EFs'!$D$11</f>
        <v>2904.8107641119996</v>
      </c>
      <c r="N192" s="111">
        <f>G192*'GWPs &amp; Fuel EFs'!$M63</f>
        <v>23.238486112895998</v>
      </c>
      <c r="O192" s="111">
        <f>N192*'GWPs &amp; Fuel EFs'!$E$11</f>
        <v>6925.068861643007</v>
      </c>
    </row>
    <row r="193" spans="1:15">
      <c r="A193" s="98" t="s">
        <v>223</v>
      </c>
      <c r="B193" s="99">
        <f>O203</f>
        <v>9382.8218416261661</v>
      </c>
      <c r="C193" s="18"/>
      <c r="D193" s="109" t="s">
        <v>388</v>
      </c>
      <c r="E193" s="110" t="s">
        <v>41</v>
      </c>
      <c r="F193" s="108">
        <f>'EIA Form 923'!T2242-'EIA Form 923'!W2242</f>
        <v>12840</v>
      </c>
      <c r="G193" s="108">
        <f>'EIA Form 923'!T2242</f>
        <v>12840</v>
      </c>
      <c r="I193" s="111">
        <f>F193*'GWPs &amp; Fuel EFs'!$N8</f>
        <v>1502269.514856</v>
      </c>
      <c r="K193" s="111">
        <f>G193*'GWPs &amp; Fuel EFs'!$M36</f>
        <v>28.307354440800001</v>
      </c>
      <c r="L193" s="111">
        <f>K193*'GWPs &amp; Fuel EFs'!$D$11</f>
        <v>707.68386101999999</v>
      </c>
      <c r="N193" s="111">
        <f>G193*'GWPs &amp; Fuel EFs'!$M64</f>
        <v>2.8307354440800001</v>
      </c>
      <c r="O193" s="111">
        <f>N193*'GWPs &amp; Fuel EFs'!$E$11</f>
        <v>843.55916233584003</v>
      </c>
    </row>
    <row r="194" spans="1:15">
      <c r="A194" s="98" t="s">
        <v>224</v>
      </c>
      <c r="B194" s="99">
        <f>L213</f>
        <v>2194997.7226580563</v>
      </c>
      <c r="C194" s="18"/>
      <c r="D194" s="109" t="s">
        <v>402</v>
      </c>
      <c r="E194" s="110" t="s">
        <v>19</v>
      </c>
      <c r="F194" s="108">
        <f>'EIA Form 923'!T2243-'EIA Form 923'!W2243</f>
        <v>0</v>
      </c>
      <c r="G194" s="108">
        <f>'EIA Form 923'!T2243</f>
        <v>0</v>
      </c>
      <c r="I194" s="111">
        <f>F194*'GWPs &amp; Fuel EFs'!$N9</f>
        <v>0</v>
      </c>
      <c r="K194" s="111">
        <f>G194*'GWPs &amp; Fuel EFs'!$M37</f>
        <v>0</v>
      </c>
      <c r="L194" s="111">
        <f>K194*'GWPs &amp; Fuel EFs'!$D$11</f>
        <v>0</v>
      </c>
      <c r="N194" s="111">
        <f>G194*'GWPs &amp; Fuel EFs'!$M65</f>
        <v>0</v>
      </c>
      <c r="O194" s="111">
        <f>N194*'GWPs &amp; Fuel EFs'!$E$11</f>
        <v>0</v>
      </c>
    </row>
    <row r="195" spans="1:15">
      <c r="A195" s="98" t="s">
        <v>225</v>
      </c>
      <c r="B195" s="99">
        <f>O213</f>
        <v>12680532.203124581</v>
      </c>
      <c r="C195" s="18"/>
      <c r="D195" s="109" t="s">
        <v>403</v>
      </c>
      <c r="E195" s="110" t="s">
        <v>84</v>
      </c>
      <c r="F195" s="108">
        <f>'EIA Form 923'!T2244-'EIA Form 923'!W2244</f>
        <v>0</v>
      </c>
      <c r="G195" s="108">
        <f>'EIA Form 923'!T2244</f>
        <v>0</v>
      </c>
      <c r="I195" s="111">
        <f>F195*'GWPs &amp; Fuel EFs'!$N10</f>
        <v>0</v>
      </c>
      <c r="K195" s="111">
        <f>G195*'GWPs &amp; Fuel EFs'!$M38</f>
        <v>0</v>
      </c>
      <c r="L195" s="111">
        <f>K195*'GWPs &amp; Fuel EFs'!$D$11</f>
        <v>0</v>
      </c>
      <c r="N195" s="111">
        <f>G195*'GWPs &amp; Fuel EFs'!$M66</f>
        <v>0</v>
      </c>
      <c r="O195" s="111">
        <f>N195*'GWPs &amp; Fuel EFs'!$E$11</f>
        <v>0</v>
      </c>
    </row>
    <row r="196" spans="1:15">
      <c r="A196" s="98"/>
      <c r="B196" s="98"/>
      <c r="C196" s="18"/>
      <c r="D196" s="109" t="s">
        <v>398</v>
      </c>
      <c r="E196" s="110" t="s">
        <v>410</v>
      </c>
      <c r="F196" s="108">
        <f>'EIA Form 923'!T2245-'EIA Form 923'!W2245</f>
        <v>0</v>
      </c>
      <c r="G196" s="108">
        <f>'EIA Form 923'!T2245</f>
        <v>0</v>
      </c>
      <c r="I196" s="111">
        <f>F196*'GWPs &amp; Fuel EFs'!$N11</f>
        <v>0</v>
      </c>
      <c r="K196" s="111">
        <f>G196*'GWPs &amp; Fuel EFs'!$M39</f>
        <v>0</v>
      </c>
      <c r="L196" s="111">
        <f>K196*'GWPs &amp; Fuel EFs'!$D$11</f>
        <v>0</v>
      </c>
      <c r="N196" s="111">
        <f>G196*'GWPs &amp; Fuel EFs'!$M67</f>
        <v>0</v>
      </c>
      <c r="O196" s="111">
        <f>N196*'GWPs &amp; Fuel EFs'!$E$11</f>
        <v>0</v>
      </c>
    </row>
    <row r="197" spans="1:15">
      <c r="A197" s="98"/>
      <c r="B197" s="98"/>
      <c r="C197" s="18"/>
      <c r="D197" s="109" t="s">
        <v>391</v>
      </c>
      <c r="E197" s="110" t="s">
        <v>67</v>
      </c>
      <c r="F197" s="108">
        <f>'EIA Form 923'!T2246-'EIA Form 923'!W2246</f>
        <v>0</v>
      </c>
      <c r="G197" s="108">
        <f>'EIA Form 923'!T2246</f>
        <v>0</v>
      </c>
      <c r="I197" s="111">
        <f>F197*'GWPs &amp; Fuel EFs'!$N12</f>
        <v>0</v>
      </c>
      <c r="K197" s="111">
        <f>G197*'GWPs &amp; Fuel EFs'!$M40</f>
        <v>0</v>
      </c>
      <c r="L197" s="111">
        <f>K197*'GWPs &amp; Fuel EFs'!$D$11</f>
        <v>0</v>
      </c>
      <c r="N197" s="111">
        <f>G197*'GWPs &amp; Fuel EFs'!$M68</f>
        <v>0</v>
      </c>
      <c r="O197" s="111">
        <f>N197*'GWPs &amp; Fuel EFs'!$E$11</f>
        <v>0</v>
      </c>
    </row>
    <row r="198" spans="1:15">
      <c r="A198" s="98"/>
      <c r="B198" s="98"/>
      <c r="C198" s="18"/>
      <c r="D198" s="109" t="s">
        <v>390</v>
      </c>
      <c r="E198" s="110" t="s">
        <v>63</v>
      </c>
      <c r="F198" s="108">
        <f>'EIA Form 923'!T2247-'EIA Form 923'!W2247</f>
        <v>0</v>
      </c>
      <c r="G198" s="108">
        <f>'EIA Form 923'!T2247</f>
        <v>0</v>
      </c>
      <c r="I198" s="111">
        <f>F198*'GWPs &amp; Fuel EFs'!$N13</f>
        <v>0</v>
      </c>
      <c r="K198" s="111">
        <f>G198*'GWPs &amp; Fuel EFs'!$M41</f>
        <v>0</v>
      </c>
      <c r="L198" s="111">
        <f>K198*'GWPs &amp; Fuel EFs'!$D$11</f>
        <v>0</v>
      </c>
      <c r="N198" s="111">
        <f>G198*'GWPs &amp; Fuel EFs'!$M69</f>
        <v>0</v>
      </c>
      <c r="O198" s="111">
        <f>N198*'GWPs &amp; Fuel EFs'!$E$11</f>
        <v>0</v>
      </c>
    </row>
    <row r="199" spans="1:15">
      <c r="A199" s="98"/>
      <c r="B199" s="98"/>
      <c r="C199" s="18"/>
      <c r="D199" s="109" t="s">
        <v>392</v>
      </c>
      <c r="E199" s="110" t="s">
        <v>68</v>
      </c>
      <c r="F199" s="108">
        <f>'EIA Form 923'!T2248-'EIA Form 923'!W2248</f>
        <v>0</v>
      </c>
      <c r="G199" s="108">
        <f>'EIA Form 923'!T2248</f>
        <v>0</v>
      </c>
      <c r="I199" s="111">
        <f>F199*'GWPs &amp; Fuel EFs'!$N14</f>
        <v>0</v>
      </c>
      <c r="K199" s="111">
        <f>G199*'GWPs &amp; Fuel EFs'!$M42</f>
        <v>0</v>
      </c>
      <c r="L199" s="111">
        <f>K199*'GWPs &amp; Fuel EFs'!$D$11</f>
        <v>0</v>
      </c>
      <c r="N199" s="111">
        <f>G199*'GWPs &amp; Fuel EFs'!$M70</f>
        <v>0</v>
      </c>
      <c r="O199" s="111">
        <f>N199*'GWPs &amp; Fuel EFs'!$E$11</f>
        <v>0</v>
      </c>
    </row>
    <row r="200" spans="1:15">
      <c r="A200" s="98"/>
      <c r="B200" s="98"/>
      <c r="C200" s="18"/>
      <c r="D200" s="109" t="s">
        <v>393</v>
      </c>
      <c r="E200" s="110" t="s">
        <v>78</v>
      </c>
      <c r="F200" s="108">
        <f>'EIA Form 923'!T2249-'EIA Form 923'!W2249</f>
        <v>0</v>
      </c>
      <c r="G200" s="108">
        <f>'EIA Form 923'!T2249</f>
        <v>4095</v>
      </c>
      <c r="I200" s="111">
        <f>F200*'GWPs &amp; Fuel EFs'!$N15</f>
        <v>0</v>
      </c>
      <c r="K200" s="111">
        <f>G200*'GWPs &amp; Fuel EFs'!$M43</f>
        <v>27.083788886699999</v>
      </c>
      <c r="L200" s="111">
        <f>K200*'GWPs &amp; Fuel EFs'!$D$11</f>
        <v>677.09472216749998</v>
      </c>
      <c r="N200" s="111">
        <f>G200*'GWPs &amp; Fuel EFs'!$M71</f>
        <v>5.4167577773399991</v>
      </c>
      <c r="O200" s="111">
        <f>N200*'GWPs &amp; Fuel EFs'!$E$11</f>
        <v>1614.1938176473197</v>
      </c>
    </row>
    <row r="201" spans="1:15">
      <c r="A201" s="98"/>
      <c r="B201" s="98"/>
      <c r="C201" s="18"/>
      <c r="D201" s="109" t="s">
        <v>394</v>
      </c>
      <c r="E201" s="110" t="s">
        <v>75</v>
      </c>
      <c r="F201" s="108">
        <f>'EIA Form 923'!T2250-'EIA Form 923'!W2250</f>
        <v>0</v>
      </c>
      <c r="G201" s="108">
        <f>'EIA Form 923'!T2250</f>
        <v>0</v>
      </c>
      <c r="I201" s="111">
        <f>F201*'GWPs &amp; Fuel EFs'!$N16</f>
        <v>0</v>
      </c>
      <c r="K201" s="111">
        <f>G201*'GWPs &amp; Fuel EFs'!$M44</f>
        <v>0</v>
      </c>
      <c r="L201" s="111">
        <f>K201*'GWPs &amp; Fuel EFs'!$D$11</f>
        <v>0</v>
      </c>
      <c r="N201" s="111">
        <f>G201*'GWPs &amp; Fuel EFs'!$M72</f>
        <v>0</v>
      </c>
      <c r="O201" s="111">
        <f>N201*'GWPs &amp; Fuel EFs'!$E$11</f>
        <v>0</v>
      </c>
    </row>
    <row r="202" spans="1:15">
      <c r="A202" s="98"/>
      <c r="B202" s="98"/>
      <c r="C202" s="18"/>
      <c r="D202" s="109" t="s">
        <v>448</v>
      </c>
      <c r="E202" s="110" t="s">
        <v>439</v>
      </c>
      <c r="F202" s="108">
        <f>'EIA Form 923'!T2251-'EIA Form 923'!W2251</f>
        <v>0</v>
      </c>
      <c r="G202" s="108">
        <f>'EIA Form 923'!T2251</f>
        <v>0</v>
      </c>
      <c r="I202" s="111">
        <f>F202*'GWPs &amp; Fuel EFs'!$N17</f>
        <v>0</v>
      </c>
      <c r="K202" s="111">
        <f>G202*'GWPs &amp; Fuel EFs'!$M45</f>
        <v>0</v>
      </c>
      <c r="L202" s="111">
        <f>K202*'GWPs &amp; Fuel EFs'!$D$11</f>
        <v>0</v>
      </c>
      <c r="N202" s="111">
        <f>G202*'GWPs &amp; Fuel EFs'!$M73</f>
        <v>0</v>
      </c>
      <c r="O202" s="111">
        <f>N202*'GWPs &amp; Fuel EFs'!$E$11</f>
        <v>0</v>
      </c>
    </row>
    <row r="203" spans="1:15">
      <c r="A203" s="98"/>
      <c r="B203" s="98"/>
      <c r="C203" s="18"/>
      <c r="D203" s="109"/>
      <c r="F203" s="108"/>
      <c r="G203" s="108"/>
      <c r="I203" s="114">
        <f>SUM(I190:I202)</f>
        <v>4092748.1920071999</v>
      </c>
      <c r="K203" s="111"/>
      <c r="L203" s="114">
        <f>SUM(L190:L202)</f>
        <v>4289.5893472994994</v>
      </c>
      <c r="N203" s="111"/>
      <c r="O203" s="114">
        <f>SUM(O190:O202)</f>
        <v>9382.8218416261661</v>
      </c>
    </row>
    <row r="204" spans="1:15" ht="13">
      <c r="A204" s="101" t="s">
        <v>226</v>
      </c>
      <c r="B204" s="97">
        <f>I213</f>
        <v>1292896696.2081177</v>
      </c>
      <c r="C204" s="18"/>
      <c r="D204" s="90" t="s">
        <v>227</v>
      </c>
      <c r="F204" s="108"/>
      <c r="G204" s="108"/>
      <c r="I204" s="114"/>
      <c r="K204" s="111"/>
      <c r="L204" s="114"/>
      <c r="N204" s="111"/>
      <c r="O204" s="114"/>
    </row>
    <row r="205" spans="1:15">
      <c r="A205" s="98"/>
      <c r="B205" s="100"/>
      <c r="C205" s="18"/>
      <c r="D205" s="112" t="s">
        <v>396</v>
      </c>
      <c r="E205" s="113" t="s">
        <v>65</v>
      </c>
      <c r="F205" s="732">
        <f>'EIA Form 923'!T2253-'EIA Form 923'!W2253+1077832</f>
        <v>1708107</v>
      </c>
      <c r="G205" s="108">
        <f>'EIA Form 923'!T2253</f>
        <v>630275</v>
      </c>
      <c r="I205" s="111">
        <f>F205*'GWPs &amp; Fuel EFs'!$N20</f>
        <v>196081630.33124828</v>
      </c>
      <c r="K205" s="111">
        <f>G205*'GWPs &amp; Fuel EFs'!$M48</f>
        <v>4446.4592698256001</v>
      </c>
      <c r="L205" s="111">
        <f>K205*'GWPs &amp; Fuel EFs'!$D$11</f>
        <v>111161.48174564001</v>
      </c>
      <c r="N205" s="111">
        <f>G205*'GWPs &amp; Fuel EFs'!$M76</f>
        <v>875.396668746915</v>
      </c>
      <c r="O205" s="111">
        <f>N205*'GWPs &amp; Fuel EFs'!$E$11</f>
        <v>260868.20728658067</v>
      </c>
    </row>
    <row r="206" spans="1:15">
      <c r="A206" s="98"/>
      <c r="B206" s="98"/>
      <c r="C206" s="18"/>
      <c r="D206" s="112" t="s">
        <v>399</v>
      </c>
      <c r="E206" s="113" t="s">
        <v>18</v>
      </c>
      <c r="F206" s="108">
        <f>'EIA Form 923'!T2254-'EIA Form 923'!W2254</f>
        <v>0</v>
      </c>
      <c r="G206" s="108">
        <f>'EIA Form 923'!T2254</f>
        <v>0</v>
      </c>
      <c r="I206" s="111">
        <f>F206*'GWPs &amp; Fuel EFs'!$N21</f>
        <v>0</v>
      </c>
      <c r="K206" s="111">
        <f>G206*'GWPs &amp; Fuel EFs'!$M49</f>
        <v>0</v>
      </c>
      <c r="L206" s="111">
        <f>K206*'GWPs &amp; Fuel EFs'!$D$11</f>
        <v>0</v>
      </c>
      <c r="N206" s="111">
        <f>G206*'GWPs &amp; Fuel EFs'!$M77</f>
        <v>0</v>
      </c>
      <c r="O206" s="111">
        <f>N206*'GWPs &amp; Fuel EFs'!$E$11</f>
        <v>0</v>
      </c>
    </row>
    <row r="207" spans="1:15">
      <c r="A207" s="98"/>
      <c r="B207" s="98"/>
      <c r="C207" s="18"/>
      <c r="D207" s="112" t="s">
        <v>395</v>
      </c>
      <c r="E207" s="113" t="s">
        <v>159</v>
      </c>
      <c r="F207" s="108">
        <f>'EIA Form 923'!T2255-'EIA Form 923'!W2255</f>
        <v>0</v>
      </c>
      <c r="G207" s="108">
        <f>'EIA Form 923'!T2255</f>
        <v>0</v>
      </c>
      <c r="I207" s="111">
        <f>F207*'GWPs &amp; Fuel EFs'!$N22</f>
        <v>0</v>
      </c>
      <c r="K207" s="111">
        <f>G207*'GWPs &amp; Fuel EFs'!$M50</f>
        <v>0</v>
      </c>
      <c r="L207" s="111">
        <f>K207*'GWPs &amp; Fuel EFs'!$D$11</f>
        <v>0</v>
      </c>
      <c r="N207" s="111">
        <f>G207*'GWPs &amp; Fuel EFs'!$M78</f>
        <v>0</v>
      </c>
      <c r="O207" s="111">
        <f>N207*'GWPs &amp; Fuel EFs'!$E$11</f>
        <v>0</v>
      </c>
    </row>
    <row r="208" spans="1:15">
      <c r="A208" s="98"/>
      <c r="B208" s="98"/>
      <c r="C208" s="18"/>
      <c r="D208" s="112" t="s">
        <v>404</v>
      </c>
      <c r="E208" s="113" t="s">
        <v>71</v>
      </c>
      <c r="F208" s="732">
        <f>'EIA Form 923'!T2256-'EIA Form 923'!W2256+41939+10794</f>
        <v>5303912</v>
      </c>
      <c r="G208" s="108">
        <f>'EIA Form 923'!T2256</f>
        <v>5251179</v>
      </c>
      <c r="I208" s="111">
        <f>F208*'GWPs &amp; Fuel EFs'!$N23</f>
        <v>1096815065.8768694</v>
      </c>
      <c r="K208" s="111">
        <f>G208*'GWPs &amp; Fuel EFs'!$M51</f>
        <v>83353.449636496647</v>
      </c>
      <c r="L208" s="111">
        <f>K208*'GWPs &amp; Fuel EFs'!$D$11</f>
        <v>2083836.2409124163</v>
      </c>
      <c r="N208" s="111">
        <f>G208*'GWPs &amp; Fuel EFs'!$M79</f>
        <v>41676.724818248324</v>
      </c>
      <c r="O208" s="111">
        <f>N208*'GWPs &amp; Fuel EFs'!$E$11</f>
        <v>12419663.995838</v>
      </c>
    </row>
    <row r="209" spans="1:15">
      <c r="A209" s="98"/>
      <c r="B209" s="99"/>
      <c r="C209" s="18"/>
      <c r="D209" s="112" t="s">
        <v>397</v>
      </c>
      <c r="E209" s="113" t="s">
        <v>160</v>
      </c>
      <c r="F209" s="108">
        <f>'EIA Form 923'!T2257-'EIA Form 923'!W2257</f>
        <v>0</v>
      </c>
      <c r="G209" s="108">
        <f>'EIA Form 923'!T2257</f>
        <v>0</v>
      </c>
      <c r="I209" s="111">
        <f>F209*'GWPs &amp; Fuel EFs'!$N24</f>
        <v>0</v>
      </c>
      <c r="K209" s="111">
        <f>G209*'GWPs &amp; Fuel EFs'!$M52</f>
        <v>0</v>
      </c>
      <c r="L209" s="111">
        <f>K209*'GWPs &amp; Fuel EFs'!$D$11</f>
        <v>0</v>
      </c>
      <c r="N209" s="111">
        <f>G209*'GWPs &amp; Fuel EFs'!$M80</f>
        <v>0</v>
      </c>
      <c r="O209" s="111">
        <f>N209*'GWPs &amp; Fuel EFs'!$E$11</f>
        <v>0</v>
      </c>
    </row>
    <row r="210" spans="1:15">
      <c r="A210" s="98"/>
      <c r="B210" s="99"/>
      <c r="C210" s="18"/>
      <c r="D210" s="120" t="s">
        <v>450</v>
      </c>
      <c r="E210" s="113" t="s">
        <v>431</v>
      </c>
      <c r="F210" s="108">
        <f>'EIA Form 923'!T2258-'EIA Form 923'!W2258</f>
        <v>0</v>
      </c>
      <c r="G210" s="108">
        <f>'EIA Form 923'!T2258</f>
        <v>0</v>
      </c>
      <c r="I210" s="111">
        <f>F210*'GWPs &amp; Fuel EFs'!$N25</f>
        <v>0</v>
      </c>
      <c r="K210" s="111">
        <f>G210*'GWPs &amp; Fuel EFs'!$M53</f>
        <v>0</v>
      </c>
      <c r="L210" s="111">
        <f>K210*'GWPs &amp; Fuel EFs'!$D$11</f>
        <v>0</v>
      </c>
      <c r="N210" s="111">
        <f>G210*'GWPs &amp; Fuel EFs'!$M81</f>
        <v>0</v>
      </c>
      <c r="O210" s="111">
        <f>N210*'GWPs &amp; Fuel EFs'!$E$11</f>
        <v>0</v>
      </c>
    </row>
    <row r="211" spans="1:15">
      <c r="A211" s="98"/>
      <c r="B211" s="99"/>
      <c r="C211" s="18"/>
      <c r="D211" s="120" t="s">
        <v>2657</v>
      </c>
      <c r="E211" s="113" t="s">
        <v>436</v>
      </c>
      <c r="F211" s="108">
        <f>'EIA Form 923'!T2259-'EIA Form 923'!W2259</f>
        <v>0</v>
      </c>
      <c r="G211" s="108">
        <f>'EIA Form 923'!T2259</f>
        <v>0</v>
      </c>
      <c r="H211" s="118"/>
      <c r="I211" s="111">
        <f>F211*'GWPs &amp; Fuel EFs'!$N26</f>
        <v>0</v>
      </c>
      <c r="K211" s="111">
        <f>G211*'GWPs &amp; Fuel EFs'!$M54</f>
        <v>0</v>
      </c>
      <c r="L211" s="111">
        <f>K211*'GWPs &amp; Fuel EFs'!$D$11</f>
        <v>0</v>
      </c>
      <c r="N211" s="111">
        <f>G211*'GWPs &amp; Fuel EFs'!$M82</f>
        <v>0</v>
      </c>
      <c r="O211" s="111">
        <f>N211*'GWPs &amp; Fuel EFs'!$E$11</f>
        <v>0</v>
      </c>
    </row>
    <row r="212" spans="1:15">
      <c r="A212" s="98"/>
      <c r="B212" s="99"/>
      <c r="C212" s="18"/>
      <c r="D212" s="120" t="s">
        <v>449</v>
      </c>
      <c r="E212" s="113" t="s">
        <v>70</v>
      </c>
      <c r="F212" s="108">
        <f>'EIA Form 923'!T2260-'EIA Form 923'!W2260</f>
        <v>0</v>
      </c>
      <c r="G212" s="108">
        <f>'EIA Form 923'!T2260</f>
        <v>0</v>
      </c>
      <c r="I212" s="111">
        <f>F212*'GWPs &amp; Fuel EFs'!$N27</f>
        <v>0</v>
      </c>
      <c r="K212" s="111">
        <f>G212*'GWPs &amp; Fuel EFs'!$M55</f>
        <v>0</v>
      </c>
      <c r="L212" s="111">
        <f>K212*'GWPs &amp; Fuel EFs'!$D$11</f>
        <v>0</v>
      </c>
      <c r="N212" s="111">
        <f>G212*'GWPs &amp; Fuel EFs'!$M83</f>
        <v>0</v>
      </c>
      <c r="O212" s="111">
        <f>N212*'GWPs &amp; Fuel EFs'!$E$11</f>
        <v>0</v>
      </c>
    </row>
    <row r="213" spans="1:15">
      <c r="A213" s="98"/>
      <c r="B213" s="99"/>
      <c r="C213" s="18"/>
      <c r="F213" s="108"/>
      <c r="G213" s="108"/>
      <c r="I213" s="115">
        <f>SUM(I205:I212)</f>
        <v>1292896696.2081177</v>
      </c>
      <c r="L213" s="114">
        <f>SUM(L205:L212)</f>
        <v>2194997.7226580563</v>
      </c>
      <c r="O213" s="114">
        <f>SUM(O205:O212)</f>
        <v>12680532.203124581</v>
      </c>
    </row>
    <row r="214" spans="1:15">
      <c r="A214" s="98"/>
      <c r="B214" s="98"/>
      <c r="C214" s="18"/>
    </row>
    <row r="215" spans="1:15">
      <c r="A215" s="17"/>
      <c r="B215" s="17"/>
      <c r="D215" s="116"/>
      <c r="E215" s="116"/>
      <c r="F215" s="116"/>
      <c r="G215" s="116"/>
      <c r="I215" s="116"/>
      <c r="K215" s="116"/>
      <c r="L215" s="116"/>
      <c r="N215" s="116"/>
      <c r="O215" s="116"/>
    </row>
    <row r="216" spans="1:15" ht="13">
      <c r="A216" s="863" t="s">
        <v>1631</v>
      </c>
      <c r="B216" s="863"/>
      <c r="D216" s="862" t="s">
        <v>234</v>
      </c>
      <c r="E216" s="862"/>
      <c r="F216" s="862"/>
      <c r="G216" s="862"/>
      <c r="I216" s="105" t="s">
        <v>234</v>
      </c>
      <c r="K216" s="862" t="s">
        <v>234</v>
      </c>
      <c r="L216" s="862"/>
      <c r="N216" s="862" t="s">
        <v>234</v>
      </c>
      <c r="O216" s="862"/>
    </row>
    <row r="217" spans="1:15" ht="13">
      <c r="A217" s="864">
        <v>2019</v>
      </c>
      <c r="B217" s="864"/>
      <c r="D217" s="862" t="s">
        <v>77</v>
      </c>
      <c r="E217" s="862"/>
      <c r="F217" s="862"/>
      <c r="G217" s="862"/>
      <c r="I217" s="105" t="s">
        <v>214</v>
      </c>
      <c r="K217" s="121"/>
      <c r="L217" s="121"/>
      <c r="N217" s="121"/>
      <c r="O217" s="121"/>
    </row>
    <row r="218" spans="1:15" s="13" customFormat="1" ht="76.5" customHeight="1">
      <c r="A218" s="94"/>
      <c r="B218" s="95" t="s">
        <v>341</v>
      </c>
      <c r="D218" s="107" t="s">
        <v>217</v>
      </c>
      <c r="E218" s="107" t="s">
        <v>129</v>
      </c>
      <c r="F218" s="107"/>
      <c r="G218" s="107" t="s">
        <v>1910</v>
      </c>
      <c r="H218" s="93"/>
      <c r="I218" s="92" t="s">
        <v>339</v>
      </c>
      <c r="J218" s="106"/>
      <c r="K218" s="122"/>
      <c r="L218" s="122"/>
      <c r="M218" s="106"/>
      <c r="N218" s="122"/>
      <c r="O218" s="122"/>
    </row>
    <row r="219" spans="1:15" s="16" customFormat="1" ht="13">
      <c r="A219" s="96" t="s">
        <v>220</v>
      </c>
      <c r="B219" s="97">
        <f>E219*2204622.62</f>
        <v>511472447.84000003</v>
      </c>
      <c r="D219" s="91" t="s">
        <v>221</v>
      </c>
      <c r="E219" s="772">
        <v>232</v>
      </c>
      <c r="F219" s="220"/>
      <c r="G219" s="126"/>
      <c r="H219" s="119"/>
      <c r="I219" s="119"/>
      <c r="J219" s="119"/>
      <c r="K219" s="124"/>
      <c r="L219" s="124"/>
      <c r="M219" s="119"/>
      <c r="N219" s="124"/>
      <c r="O219" s="124"/>
    </row>
    <row r="220" spans="1:15" ht="13">
      <c r="A220" s="101" t="s">
        <v>226</v>
      </c>
      <c r="B220" s="97">
        <f>I223</f>
        <v>2894795378.0755916</v>
      </c>
      <c r="D220" s="125" t="s">
        <v>227</v>
      </c>
      <c r="E220" s="155"/>
      <c r="F220" s="126"/>
      <c r="G220" s="156"/>
      <c r="I220" s="108"/>
      <c r="K220" s="40"/>
      <c r="L220" s="40"/>
      <c r="N220" s="40"/>
      <c r="O220" s="40"/>
    </row>
    <row r="221" spans="1:15" s="16" customFormat="1">
      <c r="A221" s="98"/>
      <c r="B221" s="99"/>
      <c r="D221" s="112" t="s">
        <v>1227</v>
      </c>
      <c r="E221" s="155"/>
      <c r="F221" s="155"/>
      <c r="G221" s="761">
        <v>802298</v>
      </c>
      <c r="H221" s="119"/>
      <c r="I221" s="111">
        <f>G221*'GWPs &amp; Fuel EFs'!J23*'EIA Form 923'!Y2086</f>
        <v>2827862069.8494515</v>
      </c>
      <c r="J221" s="119"/>
      <c r="K221" s="127"/>
      <c r="L221" s="127"/>
      <c r="M221" s="119"/>
      <c r="N221" s="127"/>
      <c r="O221" s="127"/>
    </row>
    <row r="222" spans="1:15" s="16" customFormat="1">
      <c r="A222" s="98"/>
      <c r="B222" s="99"/>
      <c r="D222" s="120" t="s">
        <v>2662</v>
      </c>
      <c r="E222" s="166"/>
      <c r="F222" s="167"/>
      <c r="G222" s="127">
        <f>GIS!S281+GIS!V281+GIS!Y281+GIS!AB281+GIS!AE281+GIS!AH281</f>
        <v>50172</v>
      </c>
      <c r="H222" s="119"/>
      <c r="I222" s="111">
        <f>G222*'GWPs &amp; Fuel EFs'!J20*'EIA Form 923'!Y2087</f>
        <v>66933308.226139873</v>
      </c>
      <c r="J222" s="119"/>
      <c r="K222" s="127"/>
      <c r="L222" s="127"/>
      <c r="M222" s="119"/>
      <c r="N222" s="127"/>
      <c r="O222" s="127"/>
    </row>
    <row r="223" spans="1:15" s="16" customFormat="1">
      <c r="A223" s="98"/>
      <c r="B223" s="99"/>
      <c r="D223" s="112"/>
      <c r="E223" s="155"/>
      <c r="F223" s="155"/>
      <c r="G223" s="126"/>
      <c r="H223" s="119"/>
      <c r="I223" s="115">
        <f>SUM(I221:I222)</f>
        <v>2894795378.0755916</v>
      </c>
      <c r="J223" s="119"/>
      <c r="K223" s="127"/>
      <c r="L223" s="127"/>
      <c r="M223" s="119"/>
      <c r="N223" s="127"/>
      <c r="O223" s="127"/>
    </row>
    <row r="224" spans="1:15">
      <c r="A224" s="98"/>
      <c r="B224" s="98"/>
      <c r="D224" s="119"/>
      <c r="E224" s="119"/>
      <c r="F224" s="128"/>
      <c r="G224" s="128"/>
      <c r="I224" s="111"/>
      <c r="K224" s="127"/>
      <c r="L224" s="127"/>
      <c r="N224" s="127"/>
      <c r="O224" s="127"/>
    </row>
    <row r="225" spans="1:15">
      <c r="A225" s="17"/>
      <c r="B225" s="17"/>
      <c r="D225" s="116"/>
      <c r="E225" s="116"/>
      <c r="F225" s="116"/>
      <c r="G225" s="116"/>
      <c r="I225" s="116"/>
      <c r="K225" s="116"/>
      <c r="L225" s="116"/>
      <c r="N225" s="116"/>
      <c r="O225" s="116"/>
    </row>
    <row r="226" spans="1:15" ht="13">
      <c r="A226" s="863" t="s">
        <v>1632</v>
      </c>
      <c r="B226" s="863"/>
      <c r="D226" s="862" t="s">
        <v>235</v>
      </c>
      <c r="E226" s="862"/>
      <c r="F226" s="862"/>
      <c r="G226" s="862"/>
      <c r="I226" s="105" t="s">
        <v>235</v>
      </c>
      <c r="K226" s="862" t="s">
        <v>235</v>
      </c>
      <c r="L226" s="862"/>
      <c r="N226" s="862" t="s">
        <v>235</v>
      </c>
      <c r="O226" s="862"/>
    </row>
    <row r="227" spans="1:15" ht="13">
      <c r="A227" s="864">
        <v>2019</v>
      </c>
      <c r="B227" s="864"/>
      <c r="D227" s="862" t="s">
        <v>77</v>
      </c>
      <c r="E227" s="862"/>
      <c r="F227" s="862"/>
      <c r="G227" s="862"/>
      <c r="I227" s="129"/>
      <c r="K227" s="121"/>
      <c r="L227" s="121"/>
      <c r="M227" s="40"/>
      <c r="N227" s="121"/>
      <c r="O227" s="121"/>
    </row>
    <row r="228" spans="1:15" ht="63.75" customHeight="1">
      <c r="A228" s="94"/>
      <c r="B228" s="95" t="s">
        <v>341</v>
      </c>
      <c r="D228" s="107"/>
      <c r="E228" s="107" t="s">
        <v>129</v>
      </c>
      <c r="F228" s="107"/>
      <c r="G228" s="107"/>
      <c r="I228" s="122"/>
      <c r="K228" s="122"/>
      <c r="L228" s="122"/>
      <c r="M228" s="40"/>
      <c r="N228" s="122"/>
      <c r="O228" s="122"/>
    </row>
    <row r="229" spans="1:15" s="16" customFormat="1" ht="13">
      <c r="A229" s="96" t="s">
        <v>220</v>
      </c>
      <c r="B229" s="97">
        <f>E229*2204622.62</f>
        <v>7275254646</v>
      </c>
      <c r="D229" s="91" t="s">
        <v>221</v>
      </c>
      <c r="E229" s="772">
        <v>3300</v>
      </c>
      <c r="F229" s="220"/>
      <c r="G229" s="220"/>
      <c r="H229" s="119"/>
      <c r="I229" s="40"/>
      <c r="J229" s="119"/>
      <c r="K229" s="124"/>
      <c r="L229" s="124"/>
      <c r="M229" s="40"/>
      <c r="N229" s="124"/>
      <c r="O229" s="124"/>
    </row>
    <row r="230" spans="1:15" s="16" customFormat="1" ht="13">
      <c r="A230" s="101" t="s">
        <v>226</v>
      </c>
      <c r="B230" s="97">
        <v>0</v>
      </c>
      <c r="D230" s="125"/>
      <c r="E230" s="119"/>
      <c r="F230" s="111"/>
      <c r="G230" s="111"/>
      <c r="H230" s="119"/>
      <c r="I230" s="127"/>
      <c r="J230" s="119"/>
      <c r="K230" s="40"/>
      <c r="L230" s="40"/>
      <c r="M230" s="40"/>
      <c r="N230" s="40"/>
      <c r="O230" s="40"/>
    </row>
    <row r="231" spans="1:15" s="16" customFormat="1">
      <c r="A231" s="98"/>
      <c r="B231" s="99"/>
      <c r="D231" s="119"/>
      <c r="E231" s="119"/>
      <c r="F231" s="119"/>
      <c r="G231" s="119"/>
      <c r="H231" s="130"/>
      <c r="I231" s="127"/>
      <c r="J231" s="119"/>
      <c r="K231" s="127"/>
      <c r="L231" s="127"/>
      <c r="M231" s="40"/>
      <c r="N231" s="127"/>
      <c r="O231" s="127"/>
    </row>
    <row r="232" spans="1:15" ht="13">
      <c r="A232" s="104"/>
      <c r="B232" s="103"/>
      <c r="I232" s="131"/>
      <c r="K232" s="127"/>
      <c r="L232" s="131"/>
      <c r="M232" s="40"/>
      <c r="N232" s="127"/>
      <c r="O232" s="131"/>
    </row>
    <row r="233" spans="1:15">
      <c r="A233" s="17"/>
      <c r="B233" s="17"/>
      <c r="D233" s="116"/>
      <c r="E233" s="116"/>
      <c r="F233" s="116"/>
      <c r="G233" s="116"/>
      <c r="I233" s="116"/>
      <c r="K233" s="116"/>
      <c r="L233" s="116"/>
      <c r="N233" s="116"/>
      <c r="O233" s="116"/>
    </row>
  </sheetData>
  <mergeCells count="66">
    <mergeCell ref="A227:B227"/>
    <mergeCell ref="D227:G227"/>
    <mergeCell ref="A217:B217"/>
    <mergeCell ref="D217:G217"/>
    <mergeCell ref="A226:B226"/>
    <mergeCell ref="D226:G226"/>
    <mergeCell ref="D187:G187"/>
    <mergeCell ref="N187:O187"/>
    <mergeCell ref="A216:B216"/>
    <mergeCell ref="D216:G216"/>
    <mergeCell ref="N216:O216"/>
    <mergeCell ref="N226:O226"/>
    <mergeCell ref="K216:L216"/>
    <mergeCell ref="K226:L226"/>
    <mergeCell ref="A157:B157"/>
    <mergeCell ref="D157:G157"/>
    <mergeCell ref="K157:L157"/>
    <mergeCell ref="K186:L186"/>
    <mergeCell ref="K187:L187"/>
    <mergeCell ref="N157:O157"/>
    <mergeCell ref="N186:O186"/>
    <mergeCell ref="A186:B186"/>
    <mergeCell ref="D186:G186"/>
    <mergeCell ref="A187:B187"/>
    <mergeCell ref="A156:B156"/>
    <mergeCell ref="D156:G156"/>
    <mergeCell ref="K156:L156"/>
    <mergeCell ref="N126:O126"/>
    <mergeCell ref="N127:O127"/>
    <mergeCell ref="N156:O156"/>
    <mergeCell ref="A126:B126"/>
    <mergeCell ref="D126:G126"/>
    <mergeCell ref="A127:B127"/>
    <mergeCell ref="D127:G127"/>
    <mergeCell ref="K126:L126"/>
    <mergeCell ref="K127:L127"/>
    <mergeCell ref="N67:O67"/>
    <mergeCell ref="N96:O96"/>
    <mergeCell ref="A97:B97"/>
    <mergeCell ref="D97:G97"/>
    <mergeCell ref="K97:L97"/>
    <mergeCell ref="N97:O97"/>
    <mergeCell ref="A67:B67"/>
    <mergeCell ref="D67:G67"/>
    <mergeCell ref="K67:L67"/>
    <mergeCell ref="A96:B96"/>
    <mergeCell ref="D96:G96"/>
    <mergeCell ref="K96:L96"/>
    <mergeCell ref="A37:B37"/>
    <mergeCell ref="K37:L37"/>
    <mergeCell ref="N37:O37"/>
    <mergeCell ref="A66:B66"/>
    <mergeCell ref="D66:G66"/>
    <mergeCell ref="N66:O66"/>
    <mergeCell ref="A36:B36"/>
    <mergeCell ref="K36:L36"/>
    <mergeCell ref="K66:L66"/>
    <mergeCell ref="D7:F7"/>
    <mergeCell ref="N6:O6"/>
    <mergeCell ref="N7:O7"/>
    <mergeCell ref="N36:O36"/>
    <mergeCell ref="A6:B6"/>
    <mergeCell ref="A7:B7"/>
    <mergeCell ref="K6:L6"/>
    <mergeCell ref="K7:L7"/>
    <mergeCell ref="D6:F6"/>
  </mergeCells>
  <pageMargins left="0.7" right="0.7" top="0.75" bottom="0.75" header="0.3" footer="0.3"/>
  <pageSetup scale="42" fitToHeight="0" orientation="landscape"/>
  <rowBreaks count="3" manualBreakCount="3">
    <brk id="65" max="16383" man="1"/>
    <brk id="125" max="16383" man="1"/>
    <brk id="185" max="16383" man="1"/>
  </row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tabColor theme="7" tint="0.79998168889431442"/>
    <pageSetUpPr fitToPage="1"/>
  </sheetPr>
  <dimension ref="A1:AC2267"/>
  <sheetViews>
    <sheetView topLeftCell="D1" zoomScale="109" zoomScaleNormal="73" workbookViewId="0">
      <selection activeCell="E6" sqref="E6"/>
    </sheetView>
  </sheetViews>
  <sheetFormatPr defaultColWidth="41.6328125" defaultRowHeight="12.5"/>
  <cols>
    <col min="1" max="1" width="10.1796875" customWidth="1"/>
    <col min="2" max="2" width="8.6328125" customWidth="1"/>
    <col min="3" max="3" width="9.453125" customWidth="1"/>
    <col min="4" max="4" width="29.453125" customWidth="1"/>
    <col min="5" max="5" width="28.453125" customWidth="1"/>
    <col min="6" max="6" width="13.36328125" customWidth="1"/>
    <col min="7" max="8" width="10.453125" customWidth="1"/>
    <col min="9" max="10" width="8.1796875" customWidth="1"/>
    <col min="11" max="11" width="8.36328125" customWidth="1"/>
    <col min="12" max="12" width="21.453125" customWidth="1"/>
    <col min="13" max="13" width="7.36328125" customWidth="1"/>
    <col min="14" max="14" width="8.1796875" customWidth="1"/>
    <col min="15" max="15" width="7.453125" customWidth="1"/>
    <col min="16" max="16" width="8" customWidth="1"/>
    <col min="17" max="17" width="15.453125" style="1" customWidth="1"/>
    <col min="18" max="18" width="14.36328125" style="1" customWidth="1"/>
    <col min="19" max="19" width="16.453125" style="1" customWidth="1"/>
    <col min="20" max="20" width="15.453125" style="1" customWidth="1"/>
    <col min="21" max="21" width="16.1796875" style="1" customWidth="1"/>
    <col min="22" max="22" width="7.36328125" style="31" customWidth="1"/>
    <col min="23" max="23" width="12.81640625" style="31" customWidth="1"/>
    <col min="24" max="24" width="20.1796875" style="16" customWidth="1"/>
    <col min="25" max="25" width="16.453125" style="16" customWidth="1"/>
    <col min="26" max="26" width="18.453125" style="16" customWidth="1"/>
    <col min="27" max="27" width="12.6328125" style="21" customWidth="1"/>
    <col min="28" max="28" width="12.36328125" customWidth="1"/>
    <col min="29" max="29" width="12.81640625" customWidth="1"/>
    <col min="30" max="30" width="11.81640625" customWidth="1"/>
  </cols>
  <sheetData>
    <row r="1" spans="1:28" s="157" customFormat="1" ht="16" customHeight="1">
      <c r="A1" s="749" t="s">
        <v>1236</v>
      </c>
      <c r="B1" s="182"/>
      <c r="C1" s="182"/>
      <c r="D1" s="182"/>
      <c r="E1" s="182"/>
      <c r="F1" s="182"/>
      <c r="G1" s="182"/>
      <c r="H1" s="182"/>
      <c r="I1" s="182"/>
      <c r="J1" s="182"/>
      <c r="K1" s="182"/>
      <c r="L1" s="182"/>
      <c r="M1" s="182"/>
      <c r="N1" s="182"/>
      <c r="O1" s="182"/>
      <c r="P1" s="182"/>
      <c r="Q1" s="182"/>
      <c r="R1" s="182"/>
      <c r="S1" s="182"/>
      <c r="T1" s="182"/>
      <c r="U1" s="182"/>
      <c r="V1" s="182"/>
      <c r="W1" s="182"/>
      <c r="Y1" s="774"/>
    </row>
    <row r="2" spans="1:28" s="157" customFormat="1" ht="16" customHeight="1">
      <c r="A2" s="749" t="s">
        <v>2958</v>
      </c>
      <c r="B2" s="182"/>
      <c r="C2" s="182"/>
      <c r="D2" s="182"/>
      <c r="E2" s="182"/>
      <c r="F2" s="182"/>
      <c r="G2" s="182"/>
      <c r="H2" s="182"/>
      <c r="I2" s="182"/>
      <c r="J2" s="182"/>
      <c r="K2" s="182"/>
      <c r="L2" s="182"/>
      <c r="M2" s="182"/>
      <c r="N2" s="182"/>
      <c r="O2" s="182"/>
      <c r="P2" s="182"/>
      <c r="Q2" s="182"/>
      <c r="R2" s="182"/>
      <c r="S2" s="182"/>
      <c r="T2" s="182"/>
      <c r="U2" s="182"/>
      <c r="V2" s="182"/>
      <c r="W2" s="182"/>
      <c r="Y2" s="34" t="s">
        <v>52</v>
      </c>
      <c r="AA2" s="44"/>
    </row>
    <row r="3" spans="1:28" s="157" customFormat="1" ht="16" customHeight="1">
      <c r="A3" s="749" t="s">
        <v>1237</v>
      </c>
      <c r="B3" s="182"/>
      <c r="C3" s="182"/>
      <c r="D3" s="182"/>
      <c r="E3" s="182"/>
      <c r="F3" s="182"/>
      <c r="G3" s="182"/>
      <c r="H3" s="182"/>
      <c r="I3" s="182"/>
      <c r="J3" s="182"/>
      <c r="K3" s="182"/>
      <c r="L3" s="182"/>
      <c r="M3" s="182"/>
      <c r="N3" s="182"/>
      <c r="O3" s="182"/>
      <c r="P3" s="182"/>
      <c r="Q3" s="182"/>
      <c r="R3" s="182"/>
      <c r="S3" s="182"/>
      <c r="T3" s="182"/>
      <c r="U3" s="182"/>
      <c r="V3" s="182"/>
      <c r="W3" s="182"/>
      <c r="Y3" s="34" t="s">
        <v>41</v>
      </c>
      <c r="AA3" s="44"/>
    </row>
    <row r="4" spans="1:28" s="30" customFormat="1" ht="15.5">
      <c r="A4" s="750" t="s">
        <v>2959</v>
      </c>
      <c r="B4" s="183"/>
      <c r="C4" s="183"/>
      <c r="D4" s="183"/>
      <c r="E4" s="746" t="s">
        <v>2422</v>
      </c>
      <c r="F4" s="183"/>
      <c r="G4" s="183"/>
      <c r="H4" s="183"/>
      <c r="I4" s="183"/>
      <c r="J4" s="183"/>
      <c r="K4" s="183"/>
      <c r="L4" s="183"/>
      <c r="M4" s="183"/>
      <c r="N4" s="183"/>
      <c r="O4" s="183"/>
      <c r="P4" s="183"/>
      <c r="Q4" s="183"/>
      <c r="R4" s="183"/>
      <c r="S4" s="183"/>
      <c r="T4" s="183"/>
      <c r="U4" s="183"/>
      <c r="V4" s="183"/>
      <c r="W4" s="759">
        <v>44288</v>
      </c>
      <c r="X4" s="34"/>
      <c r="Y4" s="34" t="s">
        <v>48</v>
      </c>
      <c r="Z4" s="34"/>
      <c r="AA4" s="44"/>
      <c r="AB4" s="66"/>
    </row>
    <row r="5" spans="1:28" s="29" customFormat="1" ht="13">
      <c r="A5" s="865" t="s">
        <v>1238</v>
      </c>
      <c r="B5" s="866"/>
      <c r="C5" s="866"/>
      <c r="D5" s="866"/>
      <c r="E5" s="866"/>
      <c r="F5" s="866"/>
      <c r="G5" s="866"/>
      <c r="H5" s="866"/>
      <c r="I5" s="866"/>
      <c r="J5" s="866"/>
      <c r="K5" s="866"/>
      <c r="L5" s="866"/>
      <c r="M5" s="866"/>
      <c r="N5" s="866"/>
      <c r="O5" s="866"/>
      <c r="P5" s="867"/>
      <c r="Q5" s="865" t="s">
        <v>1239</v>
      </c>
      <c r="R5" s="866"/>
      <c r="S5" s="866"/>
      <c r="T5" s="866"/>
      <c r="U5" s="867"/>
      <c r="V5" s="184" t="s">
        <v>1238</v>
      </c>
      <c r="W5" s="33"/>
      <c r="X5" s="33"/>
      <c r="Y5" s="33"/>
      <c r="Z5" s="33"/>
      <c r="AA5" s="44"/>
      <c r="AB5" s="67"/>
    </row>
    <row r="6" spans="1:28" s="41" customFormat="1" ht="65">
      <c r="A6" s="184" t="s">
        <v>1240</v>
      </c>
      <c r="B6" s="184" t="s">
        <v>1913</v>
      </c>
      <c r="C6" s="184" t="s">
        <v>1241</v>
      </c>
      <c r="D6" s="184" t="s">
        <v>581</v>
      </c>
      <c r="E6" s="184" t="s">
        <v>145</v>
      </c>
      <c r="F6" s="184" t="s">
        <v>1242</v>
      </c>
      <c r="G6" s="184" t="s">
        <v>1914</v>
      </c>
      <c r="H6" s="184" t="s">
        <v>146</v>
      </c>
      <c r="I6" s="184" t="s">
        <v>147</v>
      </c>
      <c r="J6" s="184" t="s">
        <v>148</v>
      </c>
      <c r="K6" s="184" t="s">
        <v>149</v>
      </c>
      <c r="L6" s="184" t="s">
        <v>150</v>
      </c>
      <c r="M6" s="184" t="s">
        <v>1915</v>
      </c>
      <c r="N6" s="184" t="s">
        <v>1916</v>
      </c>
      <c r="O6" s="184" t="s">
        <v>1917</v>
      </c>
      <c r="P6" s="184" t="s">
        <v>1918</v>
      </c>
      <c r="Q6" s="185" t="s">
        <v>1919</v>
      </c>
      <c r="R6" s="185" t="s">
        <v>1920</v>
      </c>
      <c r="S6" s="185" t="s">
        <v>1921</v>
      </c>
      <c r="T6" s="185" t="s">
        <v>1922</v>
      </c>
      <c r="U6" s="185" t="s">
        <v>1923</v>
      </c>
      <c r="V6" s="184" t="s">
        <v>1243</v>
      </c>
      <c r="W6" s="221" t="s">
        <v>2665</v>
      </c>
      <c r="X6" s="173" t="s">
        <v>1475</v>
      </c>
      <c r="Y6" s="83" t="s">
        <v>1354</v>
      </c>
      <c r="Z6" s="83" t="s">
        <v>1355</v>
      </c>
      <c r="AA6" s="44"/>
      <c r="AB6" s="68"/>
    </row>
    <row r="7" spans="1:28" s="29" customFormat="1" hidden="1">
      <c r="A7" s="751">
        <v>88</v>
      </c>
      <c r="B7" s="752" t="s">
        <v>35</v>
      </c>
      <c r="C7" s="751" t="s">
        <v>2960</v>
      </c>
      <c r="D7" s="752" t="s">
        <v>582</v>
      </c>
      <c r="E7" s="752" t="s">
        <v>58</v>
      </c>
      <c r="F7" s="751">
        <v>15296</v>
      </c>
      <c r="G7" s="752" t="s">
        <v>59</v>
      </c>
      <c r="H7" s="752" t="s">
        <v>1244</v>
      </c>
      <c r="I7" s="752" t="s">
        <v>60</v>
      </c>
      <c r="J7" s="751">
        <v>22</v>
      </c>
      <c r="K7" s="751">
        <v>1</v>
      </c>
      <c r="L7" s="752" t="s">
        <v>36</v>
      </c>
      <c r="M7" s="752" t="s">
        <v>37</v>
      </c>
      <c r="N7" s="752" t="s">
        <v>38</v>
      </c>
      <c r="O7" s="752" t="s">
        <v>39</v>
      </c>
      <c r="P7" s="752" t="s">
        <v>1238</v>
      </c>
      <c r="Q7" s="753">
        <v>0</v>
      </c>
      <c r="R7" s="753">
        <v>0</v>
      </c>
      <c r="S7" s="753">
        <v>92932</v>
      </c>
      <c r="T7" s="753">
        <v>92932</v>
      </c>
      <c r="U7" s="753">
        <v>10437</v>
      </c>
      <c r="V7" s="751">
        <v>2019</v>
      </c>
      <c r="W7" s="222"/>
      <c r="X7" s="186"/>
      <c r="Y7" s="178" t="str">
        <f t="shared" ref="Y7:Y70" si="0">IF(AND($M7=$Y$2,$N7=$Y$3,NOT($Q7=$R7),NOT($U7=0)),IF($K7=5,$S7/($U7+(8/5)*$U7),IF($K7=7,$S7/($U7+(29/25)*$U7),"")),"")</f>
        <v/>
      </c>
      <c r="Z7" s="178" t="str">
        <f t="shared" ref="Z7:Z70" si="1">IF(AND($M7=$Y$2,$N7=$Y$4,NOT($Q7=$R7),NOT($U7=0)),IF($K7=5,$S7/($U7+(8/5)*$U7),IF($K7=7,$S7/($U7+(29/25)*$U7),"")),"")</f>
        <v/>
      </c>
      <c r="AA7" s="44"/>
      <c r="AB7" s="65"/>
    </row>
    <row r="8" spans="1:28" s="42" customFormat="1" ht="25" hidden="1">
      <c r="A8" s="751">
        <v>539</v>
      </c>
      <c r="B8" s="752" t="s">
        <v>35</v>
      </c>
      <c r="C8" s="751" t="s">
        <v>2960</v>
      </c>
      <c r="D8" s="752" t="s">
        <v>1634</v>
      </c>
      <c r="E8" s="752" t="s">
        <v>76</v>
      </c>
      <c r="F8" s="751">
        <v>54895</v>
      </c>
      <c r="G8" s="752" t="s">
        <v>43</v>
      </c>
      <c r="H8" s="752" t="s">
        <v>1245</v>
      </c>
      <c r="I8" s="752" t="s">
        <v>60</v>
      </c>
      <c r="J8" s="751">
        <v>22</v>
      </c>
      <c r="K8" s="751">
        <v>2</v>
      </c>
      <c r="L8" s="752" t="s">
        <v>54</v>
      </c>
      <c r="M8" s="752" t="s">
        <v>61</v>
      </c>
      <c r="N8" s="752" t="s">
        <v>38</v>
      </c>
      <c r="O8" s="752" t="s">
        <v>62</v>
      </c>
      <c r="P8" s="752" t="s">
        <v>2961</v>
      </c>
      <c r="Q8" s="753">
        <v>16571</v>
      </c>
      <c r="R8" s="753">
        <v>16571</v>
      </c>
      <c r="S8" s="753">
        <v>0</v>
      </c>
      <c r="T8" s="753">
        <v>0</v>
      </c>
      <c r="U8" s="753">
        <v>2155</v>
      </c>
      <c r="V8" s="751">
        <v>2019</v>
      </c>
      <c r="W8" s="222"/>
      <c r="X8" s="186" t="str">
        <f>IF(OR(K8&gt;3,T8=0,NOT(U8&gt;0)),"",T8/U8)</f>
        <v/>
      </c>
      <c r="Y8" s="178" t="str">
        <f t="shared" si="0"/>
        <v/>
      </c>
      <c r="Z8" s="178" t="str">
        <f t="shared" si="1"/>
        <v/>
      </c>
      <c r="AA8" s="44"/>
      <c r="AB8" s="65"/>
    </row>
    <row r="9" spans="1:28" hidden="1">
      <c r="A9" s="751">
        <v>540</v>
      </c>
      <c r="B9" s="752" t="s">
        <v>35</v>
      </c>
      <c r="C9" s="751" t="s">
        <v>2960</v>
      </c>
      <c r="D9" s="752" t="s">
        <v>583</v>
      </c>
      <c r="E9" s="752" t="s">
        <v>584</v>
      </c>
      <c r="F9" s="751">
        <v>22379</v>
      </c>
      <c r="G9" s="752" t="s">
        <v>43</v>
      </c>
      <c r="H9" s="752" t="s">
        <v>1245</v>
      </c>
      <c r="I9" s="752" t="s">
        <v>60</v>
      </c>
      <c r="J9" s="751">
        <v>22</v>
      </c>
      <c r="K9" s="751">
        <v>2</v>
      </c>
      <c r="L9" s="752" t="s">
        <v>54</v>
      </c>
      <c r="M9" s="752" t="s">
        <v>52</v>
      </c>
      <c r="N9" s="752" t="s">
        <v>68</v>
      </c>
      <c r="O9" s="752" t="s">
        <v>69</v>
      </c>
      <c r="P9" s="752" t="s">
        <v>49</v>
      </c>
      <c r="Q9" s="753">
        <v>0</v>
      </c>
      <c r="R9" s="753">
        <v>0</v>
      </c>
      <c r="S9" s="753">
        <v>0</v>
      </c>
      <c r="T9" s="753">
        <v>0</v>
      </c>
      <c r="U9" s="753">
        <v>0</v>
      </c>
      <c r="V9" s="751">
        <v>2019</v>
      </c>
      <c r="W9" s="222"/>
      <c r="X9" s="186" t="str">
        <f>IF(OR(K9&gt;3,T9=0,NOT(U9&gt;0)),"",T9/U9)</f>
        <v/>
      </c>
      <c r="Y9" s="178" t="str">
        <f t="shared" si="0"/>
        <v/>
      </c>
      <c r="Z9" s="178" t="str">
        <f t="shared" si="1"/>
        <v/>
      </c>
      <c r="AA9" s="44"/>
      <c r="AB9" s="65"/>
    </row>
    <row r="10" spans="1:28" hidden="1">
      <c r="A10" s="751">
        <v>540</v>
      </c>
      <c r="B10" s="752" t="s">
        <v>35</v>
      </c>
      <c r="C10" s="751" t="s">
        <v>2960</v>
      </c>
      <c r="D10" s="752" t="s">
        <v>583</v>
      </c>
      <c r="E10" s="752" t="s">
        <v>584</v>
      </c>
      <c r="F10" s="751">
        <v>22379</v>
      </c>
      <c r="G10" s="752" t="s">
        <v>43</v>
      </c>
      <c r="H10" s="752" t="s">
        <v>1245</v>
      </c>
      <c r="I10" s="752" t="s">
        <v>60</v>
      </c>
      <c r="J10" s="751">
        <v>22</v>
      </c>
      <c r="K10" s="751">
        <v>2</v>
      </c>
      <c r="L10" s="752" t="s">
        <v>54</v>
      </c>
      <c r="M10" s="752" t="s">
        <v>52</v>
      </c>
      <c r="N10" s="752" t="s">
        <v>78</v>
      </c>
      <c r="O10" s="752" t="s">
        <v>69</v>
      </c>
      <c r="P10" s="752" t="s">
        <v>49</v>
      </c>
      <c r="Q10" s="753">
        <v>363</v>
      </c>
      <c r="R10" s="753">
        <v>363</v>
      </c>
      <c r="S10" s="753">
        <v>2058</v>
      </c>
      <c r="T10" s="753">
        <v>2058</v>
      </c>
      <c r="U10" s="753">
        <v>128</v>
      </c>
      <c r="V10" s="751">
        <v>2019</v>
      </c>
      <c r="W10" s="222"/>
      <c r="X10" s="186">
        <f>IF(OR(K10&gt;3,T10=0,NOT(U10&gt;0)),"",T10/U10)</f>
        <v>16.078125</v>
      </c>
      <c r="Y10" s="178" t="str">
        <f t="shared" si="0"/>
        <v/>
      </c>
      <c r="Z10" s="178" t="str">
        <f t="shared" si="1"/>
        <v/>
      </c>
      <c r="AA10" s="44"/>
      <c r="AB10" s="65"/>
    </row>
    <row r="11" spans="1:28" ht="25" hidden="1">
      <c r="A11" s="751">
        <v>541</v>
      </c>
      <c r="B11" s="752" t="s">
        <v>35</v>
      </c>
      <c r="C11" s="751" t="s">
        <v>2960</v>
      </c>
      <c r="D11" s="752" t="s">
        <v>585</v>
      </c>
      <c r="E11" s="752" t="s">
        <v>76</v>
      </c>
      <c r="F11" s="751">
        <v>54895</v>
      </c>
      <c r="G11" s="752" t="s">
        <v>43</v>
      </c>
      <c r="H11" s="752" t="s">
        <v>1245</v>
      </c>
      <c r="I11" s="752" t="s">
        <v>60</v>
      </c>
      <c r="J11" s="751">
        <v>22</v>
      </c>
      <c r="K11" s="751">
        <v>2</v>
      </c>
      <c r="L11" s="752" t="s">
        <v>54</v>
      </c>
      <c r="M11" s="752" t="s">
        <v>37</v>
      </c>
      <c r="N11" s="752" t="s">
        <v>38</v>
      </c>
      <c r="O11" s="752" t="s">
        <v>39</v>
      </c>
      <c r="P11" s="752" t="s">
        <v>1238</v>
      </c>
      <c r="Q11" s="753">
        <v>0</v>
      </c>
      <c r="R11" s="753">
        <v>0</v>
      </c>
      <c r="S11" s="753">
        <v>323794</v>
      </c>
      <c r="T11" s="753">
        <v>323794</v>
      </c>
      <c r="U11" s="753">
        <v>36365</v>
      </c>
      <c r="V11" s="751">
        <v>2019</v>
      </c>
      <c r="W11" s="222"/>
      <c r="X11" s="186"/>
      <c r="Y11" s="178" t="str">
        <f t="shared" si="0"/>
        <v/>
      </c>
      <c r="Z11" s="178" t="str">
        <f t="shared" si="1"/>
        <v/>
      </c>
      <c r="AA11" s="44"/>
      <c r="AB11" s="65"/>
    </row>
    <row r="12" spans="1:28" hidden="1">
      <c r="A12" s="751">
        <v>542</v>
      </c>
      <c r="B12" s="752" t="s">
        <v>35</v>
      </c>
      <c r="C12" s="751" t="s">
        <v>2960</v>
      </c>
      <c r="D12" s="752" t="s">
        <v>586</v>
      </c>
      <c r="E12" s="752" t="s">
        <v>584</v>
      </c>
      <c r="F12" s="751">
        <v>22379</v>
      </c>
      <c r="G12" s="752" t="s">
        <v>43</v>
      </c>
      <c r="H12" s="752" t="s">
        <v>1245</v>
      </c>
      <c r="I12" s="752" t="s">
        <v>60</v>
      </c>
      <c r="J12" s="751">
        <v>22</v>
      </c>
      <c r="K12" s="751">
        <v>2</v>
      </c>
      <c r="L12" s="752" t="s">
        <v>54</v>
      </c>
      <c r="M12" s="752" t="s">
        <v>52</v>
      </c>
      <c r="N12" s="752" t="s">
        <v>68</v>
      </c>
      <c r="O12" s="752" t="s">
        <v>69</v>
      </c>
      <c r="P12" s="752" t="s">
        <v>49</v>
      </c>
      <c r="Q12" s="753">
        <v>0</v>
      </c>
      <c r="R12" s="753">
        <v>0</v>
      </c>
      <c r="S12" s="753">
        <v>0</v>
      </c>
      <c r="T12" s="753">
        <v>0</v>
      </c>
      <c r="U12" s="753">
        <v>0</v>
      </c>
      <c r="V12" s="751">
        <v>2019</v>
      </c>
      <c r="W12" s="222"/>
      <c r="X12" s="186" t="str">
        <f>IF(OR(K12&gt;3,T12=0,NOT(U12&gt;0)),"",T12/U12)</f>
        <v/>
      </c>
      <c r="Y12" s="178" t="str">
        <f t="shared" si="0"/>
        <v/>
      </c>
      <c r="Z12" s="178" t="str">
        <f t="shared" si="1"/>
        <v/>
      </c>
      <c r="AA12" s="44"/>
      <c r="AB12" s="65"/>
    </row>
    <row r="13" spans="1:28" hidden="1">
      <c r="A13" s="751">
        <v>542</v>
      </c>
      <c r="B13" s="752" t="s">
        <v>35</v>
      </c>
      <c r="C13" s="751" t="s">
        <v>2960</v>
      </c>
      <c r="D13" s="752" t="s">
        <v>586</v>
      </c>
      <c r="E13" s="752" t="s">
        <v>584</v>
      </c>
      <c r="F13" s="751">
        <v>22379</v>
      </c>
      <c r="G13" s="752" t="s">
        <v>43</v>
      </c>
      <c r="H13" s="752" t="s">
        <v>1245</v>
      </c>
      <c r="I13" s="752" t="s">
        <v>60</v>
      </c>
      <c r="J13" s="751">
        <v>22</v>
      </c>
      <c r="K13" s="751">
        <v>2</v>
      </c>
      <c r="L13" s="752" t="s">
        <v>54</v>
      </c>
      <c r="M13" s="752" t="s">
        <v>52</v>
      </c>
      <c r="N13" s="752" t="s">
        <v>78</v>
      </c>
      <c r="O13" s="752" t="s">
        <v>69</v>
      </c>
      <c r="P13" s="752" t="s">
        <v>49</v>
      </c>
      <c r="Q13" s="753">
        <v>1956</v>
      </c>
      <c r="R13" s="753">
        <v>1956</v>
      </c>
      <c r="S13" s="753">
        <v>11092</v>
      </c>
      <c r="T13" s="753">
        <v>11092</v>
      </c>
      <c r="U13" s="753">
        <v>736</v>
      </c>
      <c r="V13" s="751">
        <v>2019</v>
      </c>
      <c r="W13" s="222"/>
      <c r="X13" s="186">
        <f t="shared" ref="X13:X22" si="2">IF(OR(K13&gt;3,T13=0,NOT(U13&gt;0)),"",T13/U13)</f>
        <v>15.070652173913043</v>
      </c>
      <c r="Y13" s="178" t="str">
        <f t="shared" si="0"/>
        <v/>
      </c>
      <c r="Z13" s="178" t="str">
        <f t="shared" si="1"/>
        <v/>
      </c>
      <c r="AA13" s="44"/>
      <c r="AB13" s="65"/>
    </row>
    <row r="14" spans="1:28" hidden="1">
      <c r="A14" s="751">
        <v>544</v>
      </c>
      <c r="B14" s="752" t="s">
        <v>35</v>
      </c>
      <c r="C14" s="751" t="s">
        <v>2960</v>
      </c>
      <c r="D14" s="752" t="s">
        <v>79</v>
      </c>
      <c r="E14" s="752" t="s">
        <v>456</v>
      </c>
      <c r="F14" s="751">
        <v>22350</v>
      </c>
      <c r="G14" s="752" t="s">
        <v>43</v>
      </c>
      <c r="H14" s="752" t="s">
        <v>1245</v>
      </c>
      <c r="I14" s="752" t="s">
        <v>60</v>
      </c>
      <c r="J14" s="751">
        <v>22</v>
      </c>
      <c r="K14" s="751">
        <v>2</v>
      </c>
      <c r="L14" s="752" t="s">
        <v>54</v>
      </c>
      <c r="M14" s="752" t="s">
        <v>52</v>
      </c>
      <c r="N14" s="752" t="s">
        <v>48</v>
      </c>
      <c r="O14" s="752" t="s">
        <v>48</v>
      </c>
      <c r="P14" s="752" t="s">
        <v>49</v>
      </c>
      <c r="Q14" s="753">
        <v>0</v>
      </c>
      <c r="R14" s="753">
        <v>0</v>
      </c>
      <c r="S14" s="753">
        <v>0</v>
      </c>
      <c r="T14" s="753">
        <v>0</v>
      </c>
      <c r="U14" s="753">
        <v>0</v>
      </c>
      <c r="V14" s="751">
        <v>2019</v>
      </c>
      <c r="W14" s="222" t="s">
        <v>2666</v>
      </c>
      <c r="X14" s="186" t="str">
        <f t="shared" si="2"/>
        <v/>
      </c>
      <c r="Y14" s="178" t="str">
        <f t="shared" si="0"/>
        <v/>
      </c>
      <c r="Z14" s="178" t="str">
        <f t="shared" si="1"/>
        <v/>
      </c>
      <c r="AA14" s="44"/>
      <c r="AB14" s="65"/>
    </row>
    <row r="15" spans="1:28" hidden="1">
      <c r="A15" s="751">
        <v>544</v>
      </c>
      <c r="B15" s="752" t="s">
        <v>35</v>
      </c>
      <c r="C15" s="751" t="s">
        <v>2960</v>
      </c>
      <c r="D15" s="752" t="s">
        <v>79</v>
      </c>
      <c r="E15" s="752" t="s">
        <v>456</v>
      </c>
      <c r="F15" s="751">
        <v>22350</v>
      </c>
      <c r="G15" s="752" t="s">
        <v>43</v>
      </c>
      <c r="H15" s="752" t="s">
        <v>1245</v>
      </c>
      <c r="I15" s="752" t="s">
        <v>60</v>
      </c>
      <c r="J15" s="751">
        <v>22</v>
      </c>
      <c r="K15" s="751">
        <v>2</v>
      </c>
      <c r="L15" s="752" t="s">
        <v>54</v>
      </c>
      <c r="M15" s="752" t="s">
        <v>52</v>
      </c>
      <c r="N15" s="752" t="s">
        <v>68</v>
      </c>
      <c r="O15" s="752" t="s">
        <v>69</v>
      </c>
      <c r="P15" s="752" t="s">
        <v>49</v>
      </c>
      <c r="Q15" s="753">
        <v>0</v>
      </c>
      <c r="R15" s="753">
        <v>0</v>
      </c>
      <c r="S15" s="753">
        <v>0</v>
      </c>
      <c r="T15" s="753">
        <v>0</v>
      </c>
      <c r="U15" s="753">
        <v>0</v>
      </c>
      <c r="V15" s="751">
        <v>2019</v>
      </c>
      <c r="W15" s="222" t="s">
        <v>2666</v>
      </c>
      <c r="X15" s="186" t="str">
        <f t="shared" si="2"/>
        <v/>
      </c>
      <c r="Y15" s="178" t="str">
        <f t="shared" si="0"/>
        <v/>
      </c>
      <c r="Z15" s="178" t="str">
        <f t="shared" si="1"/>
        <v/>
      </c>
      <c r="AA15" s="44"/>
      <c r="AB15" s="65"/>
    </row>
    <row r="16" spans="1:28" hidden="1">
      <c r="A16" s="751">
        <v>544</v>
      </c>
      <c r="B16" s="752" t="s">
        <v>35</v>
      </c>
      <c r="C16" s="751" t="s">
        <v>2960</v>
      </c>
      <c r="D16" s="752" t="s">
        <v>79</v>
      </c>
      <c r="E16" s="752" t="s">
        <v>456</v>
      </c>
      <c r="F16" s="751">
        <v>22350</v>
      </c>
      <c r="G16" s="752" t="s">
        <v>43</v>
      </c>
      <c r="H16" s="752" t="s">
        <v>1245</v>
      </c>
      <c r="I16" s="752" t="s">
        <v>60</v>
      </c>
      <c r="J16" s="751">
        <v>22</v>
      </c>
      <c r="K16" s="751">
        <v>2</v>
      </c>
      <c r="L16" s="752" t="s">
        <v>54</v>
      </c>
      <c r="M16" s="752" t="s">
        <v>52</v>
      </c>
      <c r="N16" s="752" t="s">
        <v>78</v>
      </c>
      <c r="O16" s="752" t="s">
        <v>69</v>
      </c>
      <c r="P16" s="752" t="s">
        <v>49</v>
      </c>
      <c r="Q16" s="753">
        <v>916</v>
      </c>
      <c r="R16" s="753">
        <v>916</v>
      </c>
      <c r="S16" s="753">
        <v>5195</v>
      </c>
      <c r="T16" s="753">
        <v>5195</v>
      </c>
      <c r="U16" s="753">
        <v>-174.18700000000001</v>
      </c>
      <c r="V16" s="751">
        <v>2019</v>
      </c>
      <c r="W16" s="222" t="s">
        <v>2666</v>
      </c>
      <c r="X16" s="186" t="str">
        <f t="shared" si="2"/>
        <v/>
      </c>
      <c r="Y16" s="178" t="str">
        <f t="shared" si="0"/>
        <v/>
      </c>
      <c r="Z16" s="178" t="str">
        <f t="shared" si="1"/>
        <v/>
      </c>
      <c r="AA16" s="44"/>
      <c r="AB16" s="65"/>
    </row>
    <row r="17" spans="1:28" hidden="1">
      <c r="A17" s="751">
        <v>544</v>
      </c>
      <c r="B17" s="752" t="s">
        <v>35</v>
      </c>
      <c r="C17" s="751" t="s">
        <v>2960</v>
      </c>
      <c r="D17" s="752" t="s">
        <v>79</v>
      </c>
      <c r="E17" s="752" t="s">
        <v>456</v>
      </c>
      <c r="F17" s="751">
        <v>22350</v>
      </c>
      <c r="G17" s="752" t="s">
        <v>43</v>
      </c>
      <c r="H17" s="752" t="s">
        <v>1245</v>
      </c>
      <c r="I17" s="752" t="s">
        <v>60</v>
      </c>
      <c r="J17" s="751">
        <v>22</v>
      </c>
      <c r="K17" s="751">
        <v>2</v>
      </c>
      <c r="L17" s="752" t="s">
        <v>54</v>
      </c>
      <c r="M17" s="752" t="s">
        <v>52</v>
      </c>
      <c r="N17" s="752" t="s">
        <v>41</v>
      </c>
      <c r="O17" s="752" t="s">
        <v>41</v>
      </c>
      <c r="P17" s="752" t="s">
        <v>1091</v>
      </c>
      <c r="Q17" s="753">
        <v>9699</v>
      </c>
      <c r="R17" s="753">
        <v>9699</v>
      </c>
      <c r="S17" s="753">
        <v>10670</v>
      </c>
      <c r="T17" s="753">
        <v>10670</v>
      </c>
      <c r="U17" s="753">
        <v>-357.81299999999999</v>
      </c>
      <c r="V17" s="751">
        <v>2019</v>
      </c>
      <c r="W17" s="222" t="s">
        <v>2666</v>
      </c>
      <c r="X17" s="186" t="str">
        <f t="shared" si="2"/>
        <v/>
      </c>
      <c r="Y17" s="178" t="str">
        <f t="shared" si="0"/>
        <v/>
      </c>
      <c r="Z17" s="178" t="str">
        <f t="shared" si="1"/>
        <v/>
      </c>
      <c r="AA17" s="44"/>
      <c r="AB17" s="65"/>
    </row>
    <row r="18" spans="1:28" hidden="1">
      <c r="A18" s="751">
        <v>544</v>
      </c>
      <c r="B18" s="752" t="s">
        <v>35</v>
      </c>
      <c r="C18" s="751" t="s">
        <v>2960</v>
      </c>
      <c r="D18" s="752" t="s">
        <v>79</v>
      </c>
      <c r="E18" s="752" t="s">
        <v>456</v>
      </c>
      <c r="F18" s="751">
        <v>22350</v>
      </c>
      <c r="G18" s="752" t="s">
        <v>43</v>
      </c>
      <c r="H18" s="752" t="s">
        <v>1245</v>
      </c>
      <c r="I18" s="752" t="s">
        <v>60</v>
      </c>
      <c r="J18" s="751">
        <v>22</v>
      </c>
      <c r="K18" s="751">
        <v>2</v>
      </c>
      <c r="L18" s="752" t="s">
        <v>54</v>
      </c>
      <c r="M18" s="752" t="s">
        <v>52</v>
      </c>
      <c r="N18" s="752" t="s">
        <v>63</v>
      </c>
      <c r="O18" s="752" t="s">
        <v>63</v>
      </c>
      <c r="P18" s="752" t="s">
        <v>49</v>
      </c>
      <c r="Q18" s="753">
        <v>0</v>
      </c>
      <c r="R18" s="753">
        <v>0</v>
      </c>
      <c r="S18" s="753">
        <v>0</v>
      </c>
      <c r="T18" s="753">
        <v>0</v>
      </c>
      <c r="U18" s="753">
        <v>0</v>
      </c>
      <c r="V18" s="751">
        <v>2019</v>
      </c>
      <c r="W18" s="222" t="s">
        <v>2666</v>
      </c>
      <c r="X18" s="186" t="str">
        <f t="shared" si="2"/>
        <v/>
      </c>
      <c r="Y18" s="178" t="str">
        <f t="shared" si="0"/>
        <v/>
      </c>
      <c r="Z18" s="178" t="str">
        <f t="shared" si="1"/>
        <v/>
      </c>
      <c r="AA18" s="44"/>
      <c r="AB18" s="65"/>
    </row>
    <row r="19" spans="1:28" hidden="1">
      <c r="A19" s="751">
        <v>546</v>
      </c>
      <c r="B19" s="752" t="s">
        <v>35</v>
      </c>
      <c r="C19" s="751" t="s">
        <v>2960</v>
      </c>
      <c r="D19" s="752" t="s">
        <v>80</v>
      </c>
      <c r="E19" s="752" t="s">
        <v>81</v>
      </c>
      <c r="F19" s="751">
        <v>22380</v>
      </c>
      <c r="G19" s="752" t="s">
        <v>43</v>
      </c>
      <c r="H19" s="752" t="s">
        <v>1245</v>
      </c>
      <c r="I19" s="752" t="s">
        <v>60</v>
      </c>
      <c r="J19" s="751">
        <v>22</v>
      </c>
      <c r="K19" s="751">
        <v>2</v>
      </c>
      <c r="L19" s="752" t="s">
        <v>54</v>
      </c>
      <c r="M19" s="752" t="s">
        <v>53</v>
      </c>
      <c r="N19" s="752" t="s">
        <v>48</v>
      </c>
      <c r="O19" s="752" t="s">
        <v>48</v>
      </c>
      <c r="P19" s="752" t="s">
        <v>49</v>
      </c>
      <c r="Q19" s="753">
        <v>68</v>
      </c>
      <c r="R19" s="753">
        <v>68</v>
      </c>
      <c r="S19" s="753">
        <v>422</v>
      </c>
      <c r="T19" s="753">
        <v>422</v>
      </c>
      <c r="U19" s="753">
        <v>37</v>
      </c>
      <c r="V19" s="751">
        <v>2019</v>
      </c>
      <c r="W19" s="222"/>
      <c r="X19" s="186">
        <f t="shared" si="2"/>
        <v>11.405405405405405</v>
      </c>
      <c r="Y19" s="178" t="str">
        <f t="shared" si="0"/>
        <v/>
      </c>
      <c r="Z19" s="178" t="str">
        <f t="shared" si="1"/>
        <v/>
      </c>
      <c r="AA19" s="44"/>
      <c r="AB19" s="65"/>
    </row>
    <row r="20" spans="1:28" hidden="1">
      <c r="A20" s="751">
        <v>546</v>
      </c>
      <c r="B20" s="752" t="s">
        <v>35</v>
      </c>
      <c r="C20" s="751" t="s">
        <v>2960</v>
      </c>
      <c r="D20" s="752" t="s">
        <v>80</v>
      </c>
      <c r="E20" s="752" t="s">
        <v>81</v>
      </c>
      <c r="F20" s="751">
        <v>22380</v>
      </c>
      <c r="G20" s="752" t="s">
        <v>43</v>
      </c>
      <c r="H20" s="752" t="s">
        <v>1245</v>
      </c>
      <c r="I20" s="752" t="s">
        <v>60</v>
      </c>
      <c r="J20" s="751">
        <v>22</v>
      </c>
      <c r="K20" s="751">
        <v>2</v>
      </c>
      <c r="L20" s="752" t="s">
        <v>54</v>
      </c>
      <c r="M20" s="752" t="s">
        <v>44</v>
      </c>
      <c r="N20" s="752" t="s">
        <v>48</v>
      </c>
      <c r="O20" s="752" t="s">
        <v>48</v>
      </c>
      <c r="P20" s="752" t="s">
        <v>49</v>
      </c>
      <c r="Q20" s="753">
        <v>107</v>
      </c>
      <c r="R20" s="753">
        <v>107</v>
      </c>
      <c r="S20" s="753">
        <v>631</v>
      </c>
      <c r="T20" s="753">
        <v>631</v>
      </c>
      <c r="U20" s="753">
        <v>37.255000000000003</v>
      </c>
      <c r="V20" s="751">
        <v>2019</v>
      </c>
      <c r="W20" s="222" t="s">
        <v>2666</v>
      </c>
      <c r="X20" s="186">
        <f t="shared" si="2"/>
        <v>16.937323849147763</v>
      </c>
      <c r="Y20" s="178" t="str">
        <f t="shared" si="0"/>
        <v/>
      </c>
      <c r="Z20" s="178" t="str">
        <f t="shared" si="1"/>
        <v/>
      </c>
      <c r="AA20" s="44"/>
      <c r="AB20" s="65"/>
    </row>
    <row r="21" spans="1:28" hidden="1">
      <c r="A21" s="751">
        <v>546</v>
      </c>
      <c r="B21" s="752" t="s">
        <v>35</v>
      </c>
      <c r="C21" s="751" t="s">
        <v>2960</v>
      </c>
      <c r="D21" s="752" t="s">
        <v>80</v>
      </c>
      <c r="E21" s="752" t="s">
        <v>81</v>
      </c>
      <c r="F21" s="751">
        <v>22380</v>
      </c>
      <c r="G21" s="752" t="s">
        <v>43</v>
      </c>
      <c r="H21" s="752" t="s">
        <v>1245</v>
      </c>
      <c r="I21" s="752" t="s">
        <v>60</v>
      </c>
      <c r="J21" s="751">
        <v>22</v>
      </c>
      <c r="K21" s="751">
        <v>2</v>
      </c>
      <c r="L21" s="752" t="s">
        <v>54</v>
      </c>
      <c r="M21" s="752" t="s">
        <v>44</v>
      </c>
      <c r="N21" s="752" t="s">
        <v>41</v>
      </c>
      <c r="O21" s="752" t="s">
        <v>41</v>
      </c>
      <c r="P21" s="752" t="s">
        <v>1091</v>
      </c>
      <c r="Q21" s="753">
        <v>79819</v>
      </c>
      <c r="R21" s="753">
        <v>79819</v>
      </c>
      <c r="S21" s="753">
        <v>82214</v>
      </c>
      <c r="T21" s="753">
        <v>82214</v>
      </c>
      <c r="U21" s="753">
        <v>6311.1989999999996</v>
      </c>
      <c r="V21" s="751">
        <v>2019</v>
      </c>
      <c r="W21" s="222" t="s">
        <v>2666</v>
      </c>
      <c r="X21" s="186">
        <f t="shared" si="2"/>
        <v>13.02668478683686</v>
      </c>
      <c r="Y21" s="178" t="str">
        <f t="shared" si="0"/>
        <v/>
      </c>
      <c r="Z21" s="178" t="str">
        <f t="shared" si="1"/>
        <v/>
      </c>
      <c r="AA21" s="44"/>
      <c r="AB21" s="65"/>
    </row>
    <row r="22" spans="1:28" hidden="1">
      <c r="A22" s="751">
        <v>546</v>
      </c>
      <c r="B22" s="752" t="s">
        <v>35</v>
      </c>
      <c r="C22" s="751" t="s">
        <v>2960</v>
      </c>
      <c r="D22" s="752" t="s">
        <v>80</v>
      </c>
      <c r="E22" s="752" t="s">
        <v>81</v>
      </c>
      <c r="F22" s="751">
        <v>22380</v>
      </c>
      <c r="G22" s="752" t="s">
        <v>43</v>
      </c>
      <c r="H22" s="752" t="s">
        <v>1245</v>
      </c>
      <c r="I22" s="752" t="s">
        <v>60</v>
      </c>
      <c r="J22" s="751">
        <v>22</v>
      </c>
      <c r="K22" s="751">
        <v>2</v>
      </c>
      <c r="L22" s="752" t="s">
        <v>54</v>
      </c>
      <c r="M22" s="752" t="s">
        <v>44</v>
      </c>
      <c r="N22" s="752" t="s">
        <v>63</v>
      </c>
      <c r="O22" s="752" t="s">
        <v>63</v>
      </c>
      <c r="P22" s="752" t="s">
        <v>49</v>
      </c>
      <c r="Q22" s="753">
        <v>9234</v>
      </c>
      <c r="R22" s="753">
        <v>9234</v>
      </c>
      <c r="S22" s="753">
        <v>58802</v>
      </c>
      <c r="T22" s="753">
        <v>58802</v>
      </c>
      <c r="U22" s="753">
        <v>3685.5459999999998</v>
      </c>
      <c r="V22" s="751">
        <v>2019</v>
      </c>
      <c r="W22" s="222" t="s">
        <v>2666</v>
      </c>
      <c r="X22" s="186">
        <f t="shared" si="2"/>
        <v>15.954759484754771</v>
      </c>
      <c r="Y22" s="178" t="str">
        <f t="shared" si="0"/>
        <v/>
      </c>
      <c r="Z22" s="178" t="str">
        <f t="shared" si="1"/>
        <v/>
      </c>
      <c r="AA22" s="44"/>
      <c r="AB22" s="65"/>
    </row>
    <row r="23" spans="1:28" ht="25" hidden="1">
      <c r="A23" s="751">
        <v>547</v>
      </c>
      <c r="B23" s="752" t="s">
        <v>35</v>
      </c>
      <c r="C23" s="751" t="s">
        <v>2960</v>
      </c>
      <c r="D23" s="752" t="s">
        <v>82</v>
      </c>
      <c r="E23" s="752" t="s">
        <v>1246</v>
      </c>
      <c r="F23" s="751">
        <v>58185</v>
      </c>
      <c r="G23" s="752" t="s">
        <v>83</v>
      </c>
      <c r="H23" s="752" t="s">
        <v>1245</v>
      </c>
      <c r="I23" s="752" t="s">
        <v>60</v>
      </c>
      <c r="J23" s="751">
        <v>22</v>
      </c>
      <c r="K23" s="751">
        <v>2</v>
      </c>
      <c r="L23" s="752" t="s">
        <v>54</v>
      </c>
      <c r="M23" s="752" t="s">
        <v>61</v>
      </c>
      <c r="N23" s="752" t="s">
        <v>38</v>
      </c>
      <c r="O23" s="752" t="s">
        <v>62</v>
      </c>
      <c r="P23" s="752" t="s">
        <v>2961</v>
      </c>
      <c r="Q23" s="753">
        <v>1085991</v>
      </c>
      <c r="R23" s="753">
        <v>1085991</v>
      </c>
      <c r="S23" s="753">
        <v>0</v>
      </c>
      <c r="T23" s="753">
        <v>0</v>
      </c>
      <c r="U23" s="753">
        <v>-272637</v>
      </c>
      <c r="V23" s="751">
        <v>2019</v>
      </c>
      <c r="W23" s="222"/>
      <c r="X23" s="186"/>
      <c r="Y23" s="178" t="str">
        <f t="shared" si="0"/>
        <v/>
      </c>
      <c r="Z23" s="178" t="str">
        <f t="shared" si="1"/>
        <v/>
      </c>
      <c r="AA23" s="44"/>
      <c r="AB23" s="65"/>
    </row>
    <row r="24" spans="1:28" ht="25" hidden="1">
      <c r="A24" s="751">
        <v>551</v>
      </c>
      <c r="B24" s="752" t="s">
        <v>35</v>
      </c>
      <c r="C24" s="751" t="s">
        <v>2960</v>
      </c>
      <c r="D24" s="752" t="s">
        <v>587</v>
      </c>
      <c r="E24" s="752" t="s">
        <v>76</v>
      </c>
      <c r="F24" s="751">
        <v>54895</v>
      </c>
      <c r="G24" s="752" t="s">
        <v>43</v>
      </c>
      <c r="H24" s="752" t="s">
        <v>1245</v>
      </c>
      <c r="I24" s="752" t="s">
        <v>60</v>
      </c>
      <c r="J24" s="751">
        <v>22</v>
      </c>
      <c r="K24" s="751">
        <v>2</v>
      </c>
      <c r="L24" s="752" t="s">
        <v>54</v>
      </c>
      <c r="M24" s="752" t="s">
        <v>37</v>
      </c>
      <c r="N24" s="752" t="s">
        <v>38</v>
      </c>
      <c r="O24" s="752" t="s">
        <v>39</v>
      </c>
      <c r="P24" s="752" t="s">
        <v>1238</v>
      </c>
      <c r="Q24" s="753">
        <v>0</v>
      </c>
      <c r="R24" s="753">
        <v>0</v>
      </c>
      <c r="S24" s="753">
        <v>71286</v>
      </c>
      <c r="T24" s="753">
        <v>71286</v>
      </c>
      <c r="U24" s="753">
        <v>8006</v>
      </c>
      <c r="V24" s="751">
        <v>2019</v>
      </c>
      <c r="W24" s="222"/>
      <c r="X24" s="186"/>
      <c r="Y24" s="178" t="str">
        <f t="shared" si="0"/>
        <v/>
      </c>
      <c r="Z24" s="178" t="str">
        <f t="shared" si="1"/>
        <v/>
      </c>
      <c r="AA24" s="44"/>
      <c r="AB24" s="65"/>
    </row>
    <row r="25" spans="1:28" ht="25" hidden="1">
      <c r="A25" s="751">
        <v>552</v>
      </c>
      <c r="B25" s="752" t="s">
        <v>35</v>
      </c>
      <c r="C25" s="751" t="s">
        <v>2960</v>
      </c>
      <c r="D25" s="752" t="s">
        <v>588</v>
      </c>
      <c r="E25" s="752" t="s">
        <v>76</v>
      </c>
      <c r="F25" s="751">
        <v>54895</v>
      </c>
      <c r="G25" s="752" t="s">
        <v>43</v>
      </c>
      <c r="H25" s="752" t="s">
        <v>1245</v>
      </c>
      <c r="I25" s="752" t="s">
        <v>60</v>
      </c>
      <c r="J25" s="751">
        <v>22</v>
      </c>
      <c r="K25" s="751">
        <v>2</v>
      </c>
      <c r="L25" s="752" t="s">
        <v>54</v>
      </c>
      <c r="M25" s="752" t="s">
        <v>37</v>
      </c>
      <c r="N25" s="752" t="s">
        <v>38</v>
      </c>
      <c r="O25" s="752" t="s">
        <v>39</v>
      </c>
      <c r="P25" s="752" t="s">
        <v>1238</v>
      </c>
      <c r="Q25" s="753">
        <v>0</v>
      </c>
      <c r="R25" s="753">
        <v>0</v>
      </c>
      <c r="S25" s="753">
        <v>1274172</v>
      </c>
      <c r="T25" s="753">
        <v>1274172</v>
      </c>
      <c r="U25" s="753">
        <v>143101</v>
      </c>
      <c r="V25" s="751">
        <v>2019</v>
      </c>
      <c r="W25" s="222"/>
      <c r="X25" s="186"/>
      <c r="Y25" s="178" t="str">
        <f t="shared" si="0"/>
        <v/>
      </c>
      <c r="Z25" s="178" t="str">
        <f t="shared" si="1"/>
        <v/>
      </c>
      <c r="AA25" s="44"/>
      <c r="AB25" s="65"/>
    </row>
    <row r="26" spans="1:28" ht="25" hidden="1">
      <c r="A26" s="751">
        <v>553</v>
      </c>
      <c r="B26" s="752" t="s">
        <v>35</v>
      </c>
      <c r="C26" s="751" t="s">
        <v>2960</v>
      </c>
      <c r="D26" s="752" t="s">
        <v>589</v>
      </c>
      <c r="E26" s="752" t="s">
        <v>76</v>
      </c>
      <c r="F26" s="751">
        <v>54895</v>
      </c>
      <c r="G26" s="752" t="s">
        <v>43</v>
      </c>
      <c r="H26" s="752" t="s">
        <v>1245</v>
      </c>
      <c r="I26" s="752" t="s">
        <v>60</v>
      </c>
      <c r="J26" s="751">
        <v>22</v>
      </c>
      <c r="K26" s="751">
        <v>2</v>
      </c>
      <c r="L26" s="752" t="s">
        <v>54</v>
      </c>
      <c r="M26" s="752" t="s">
        <v>37</v>
      </c>
      <c r="N26" s="752" t="s">
        <v>38</v>
      </c>
      <c r="O26" s="752" t="s">
        <v>39</v>
      </c>
      <c r="P26" s="752" t="s">
        <v>1238</v>
      </c>
      <c r="Q26" s="753">
        <v>0</v>
      </c>
      <c r="R26" s="753">
        <v>0</v>
      </c>
      <c r="S26" s="753">
        <v>940985</v>
      </c>
      <c r="T26" s="753">
        <v>940985</v>
      </c>
      <c r="U26" s="753">
        <v>105681</v>
      </c>
      <c r="V26" s="751">
        <v>2019</v>
      </c>
      <c r="W26" s="222"/>
      <c r="X26" s="186"/>
      <c r="Y26" s="178" t="str">
        <f t="shared" si="0"/>
        <v/>
      </c>
      <c r="Z26" s="178" t="str">
        <f t="shared" si="1"/>
        <v/>
      </c>
      <c r="AA26" s="44"/>
      <c r="AB26" s="65"/>
    </row>
    <row r="27" spans="1:28" ht="25" hidden="1">
      <c r="A27" s="751">
        <v>554</v>
      </c>
      <c r="B27" s="752" t="s">
        <v>35</v>
      </c>
      <c r="C27" s="751" t="s">
        <v>2960</v>
      </c>
      <c r="D27" s="752" t="s">
        <v>590</v>
      </c>
      <c r="E27" s="752" t="s">
        <v>76</v>
      </c>
      <c r="F27" s="751">
        <v>54895</v>
      </c>
      <c r="G27" s="752" t="s">
        <v>43</v>
      </c>
      <c r="H27" s="752" t="s">
        <v>1245</v>
      </c>
      <c r="I27" s="752" t="s">
        <v>60</v>
      </c>
      <c r="J27" s="751">
        <v>22</v>
      </c>
      <c r="K27" s="751">
        <v>2</v>
      </c>
      <c r="L27" s="752" t="s">
        <v>54</v>
      </c>
      <c r="M27" s="752" t="s">
        <v>37</v>
      </c>
      <c r="N27" s="752" t="s">
        <v>38</v>
      </c>
      <c r="O27" s="752" t="s">
        <v>39</v>
      </c>
      <c r="P27" s="752" t="s">
        <v>1238</v>
      </c>
      <c r="Q27" s="753">
        <v>0</v>
      </c>
      <c r="R27" s="753">
        <v>0</v>
      </c>
      <c r="S27" s="753">
        <v>44084</v>
      </c>
      <c r="T27" s="753">
        <v>44084</v>
      </c>
      <c r="U27" s="753">
        <v>4951</v>
      </c>
      <c r="V27" s="751">
        <v>2019</v>
      </c>
      <c r="W27" s="222"/>
      <c r="X27" s="186"/>
      <c r="Y27" s="178" t="str">
        <f t="shared" si="0"/>
        <v/>
      </c>
      <c r="Z27" s="178" t="str">
        <f t="shared" si="1"/>
        <v/>
      </c>
      <c r="AA27" s="44"/>
      <c r="AB27" s="65"/>
    </row>
    <row r="28" spans="1:28" ht="25" hidden="1">
      <c r="A28" s="751">
        <v>557</v>
      </c>
      <c r="B28" s="752" t="s">
        <v>35</v>
      </c>
      <c r="C28" s="751" t="s">
        <v>2960</v>
      </c>
      <c r="D28" s="752" t="s">
        <v>591</v>
      </c>
      <c r="E28" s="752" t="s">
        <v>76</v>
      </c>
      <c r="F28" s="751">
        <v>54895</v>
      </c>
      <c r="G28" s="752" t="s">
        <v>43</v>
      </c>
      <c r="H28" s="752" t="s">
        <v>1245</v>
      </c>
      <c r="I28" s="752" t="s">
        <v>60</v>
      </c>
      <c r="J28" s="751">
        <v>22</v>
      </c>
      <c r="K28" s="751">
        <v>2</v>
      </c>
      <c r="L28" s="752" t="s">
        <v>54</v>
      </c>
      <c r="M28" s="752" t="s">
        <v>52</v>
      </c>
      <c r="N28" s="752" t="s">
        <v>48</v>
      </c>
      <c r="O28" s="752" t="s">
        <v>48</v>
      </c>
      <c r="P28" s="752" t="s">
        <v>49</v>
      </c>
      <c r="Q28" s="753">
        <v>0</v>
      </c>
      <c r="R28" s="753">
        <v>0</v>
      </c>
      <c r="S28" s="753">
        <v>0</v>
      </c>
      <c r="T28" s="753">
        <v>0</v>
      </c>
      <c r="U28" s="753">
        <v>0</v>
      </c>
      <c r="V28" s="751">
        <v>2019</v>
      </c>
      <c r="W28" s="222"/>
      <c r="X28" s="186" t="str">
        <f>IF(OR(K28&gt;3,T28=0,NOT(U28&gt;0)),"",T28/U28)</f>
        <v/>
      </c>
      <c r="Y28" s="178" t="str">
        <f t="shared" si="0"/>
        <v/>
      </c>
      <c r="Z28" s="178" t="str">
        <f t="shared" si="1"/>
        <v/>
      </c>
      <c r="AA28" s="44"/>
      <c r="AB28" s="65"/>
    </row>
    <row r="29" spans="1:28" ht="25" hidden="1">
      <c r="A29" s="751">
        <v>557</v>
      </c>
      <c r="B29" s="752" t="s">
        <v>35</v>
      </c>
      <c r="C29" s="751" t="s">
        <v>2960</v>
      </c>
      <c r="D29" s="752" t="s">
        <v>591</v>
      </c>
      <c r="E29" s="752" t="s">
        <v>76</v>
      </c>
      <c r="F29" s="751">
        <v>54895</v>
      </c>
      <c r="G29" s="752" t="s">
        <v>43</v>
      </c>
      <c r="H29" s="752" t="s">
        <v>1245</v>
      </c>
      <c r="I29" s="752" t="s">
        <v>60</v>
      </c>
      <c r="J29" s="751">
        <v>22</v>
      </c>
      <c r="K29" s="751">
        <v>2</v>
      </c>
      <c r="L29" s="752" t="s">
        <v>54</v>
      </c>
      <c r="M29" s="752" t="s">
        <v>52</v>
      </c>
      <c r="N29" s="752" t="s">
        <v>68</v>
      </c>
      <c r="O29" s="752" t="s">
        <v>69</v>
      </c>
      <c r="P29" s="752" t="s">
        <v>49</v>
      </c>
      <c r="Q29" s="753">
        <v>697</v>
      </c>
      <c r="R29" s="753">
        <v>697</v>
      </c>
      <c r="S29" s="753">
        <v>4182</v>
      </c>
      <c r="T29" s="753">
        <v>4182</v>
      </c>
      <c r="U29" s="753">
        <v>267</v>
      </c>
      <c r="V29" s="751">
        <v>2019</v>
      </c>
      <c r="W29" s="222"/>
      <c r="X29" s="186">
        <f>IF(OR(K29&gt;3,T29=0,NOT(U29&gt;0)),"",T29/U29)</f>
        <v>15.662921348314606</v>
      </c>
      <c r="Y29" s="178" t="str">
        <f t="shared" si="0"/>
        <v/>
      </c>
      <c r="Z29" s="178" t="str">
        <f t="shared" si="1"/>
        <v/>
      </c>
      <c r="AA29" s="44"/>
      <c r="AB29" s="65"/>
    </row>
    <row r="30" spans="1:28" ht="25" hidden="1">
      <c r="A30" s="751">
        <v>557</v>
      </c>
      <c r="B30" s="752" t="s">
        <v>35</v>
      </c>
      <c r="C30" s="751" t="s">
        <v>2960</v>
      </c>
      <c r="D30" s="752" t="s">
        <v>591</v>
      </c>
      <c r="E30" s="752" t="s">
        <v>76</v>
      </c>
      <c r="F30" s="751">
        <v>54895</v>
      </c>
      <c r="G30" s="752" t="s">
        <v>43</v>
      </c>
      <c r="H30" s="752" t="s">
        <v>1245</v>
      </c>
      <c r="I30" s="752" t="s">
        <v>60</v>
      </c>
      <c r="J30" s="751">
        <v>22</v>
      </c>
      <c r="K30" s="751">
        <v>2</v>
      </c>
      <c r="L30" s="752" t="s">
        <v>54</v>
      </c>
      <c r="M30" s="752" t="s">
        <v>37</v>
      </c>
      <c r="N30" s="752" t="s">
        <v>38</v>
      </c>
      <c r="O30" s="752" t="s">
        <v>39</v>
      </c>
      <c r="P30" s="752" t="s">
        <v>1238</v>
      </c>
      <c r="Q30" s="753">
        <v>0</v>
      </c>
      <c r="R30" s="753">
        <v>0</v>
      </c>
      <c r="S30" s="753">
        <v>81355</v>
      </c>
      <c r="T30" s="753">
        <v>81355</v>
      </c>
      <c r="U30" s="753">
        <v>9137</v>
      </c>
      <c r="V30" s="751">
        <v>2019</v>
      </c>
      <c r="W30" s="222"/>
      <c r="X30" s="186"/>
      <c r="Y30" s="178" t="str">
        <f t="shared" si="0"/>
        <v/>
      </c>
      <c r="Z30" s="178" t="str">
        <f t="shared" si="1"/>
        <v/>
      </c>
      <c r="AA30" s="44"/>
      <c r="AB30" s="65"/>
    </row>
    <row r="31" spans="1:28" ht="25" hidden="1">
      <c r="A31" s="751">
        <v>559</v>
      </c>
      <c r="B31" s="752" t="s">
        <v>35</v>
      </c>
      <c r="C31" s="751" t="s">
        <v>2960</v>
      </c>
      <c r="D31" s="752" t="s">
        <v>1635</v>
      </c>
      <c r="E31" s="752" t="s">
        <v>592</v>
      </c>
      <c r="F31" s="751">
        <v>6207</v>
      </c>
      <c r="G31" s="752" t="s">
        <v>43</v>
      </c>
      <c r="H31" s="752" t="s">
        <v>1245</v>
      </c>
      <c r="I31" s="752" t="s">
        <v>60</v>
      </c>
      <c r="J31" s="751">
        <v>22</v>
      </c>
      <c r="K31" s="751">
        <v>1</v>
      </c>
      <c r="L31" s="752" t="s">
        <v>36</v>
      </c>
      <c r="M31" s="752" t="s">
        <v>37</v>
      </c>
      <c r="N31" s="752" t="s">
        <v>38</v>
      </c>
      <c r="O31" s="752" t="s">
        <v>39</v>
      </c>
      <c r="P31" s="752" t="s">
        <v>1238</v>
      </c>
      <c r="Q31" s="753">
        <v>0</v>
      </c>
      <c r="R31" s="753">
        <v>0</v>
      </c>
      <c r="S31" s="753">
        <v>289349</v>
      </c>
      <c r="T31" s="753">
        <v>289349</v>
      </c>
      <c r="U31" s="753">
        <v>32496.46</v>
      </c>
      <c r="V31" s="751">
        <v>2019</v>
      </c>
      <c r="W31" s="222"/>
      <c r="X31" s="186"/>
      <c r="Y31" s="178" t="str">
        <f t="shared" si="0"/>
        <v/>
      </c>
      <c r="Z31" s="178" t="str">
        <f t="shared" si="1"/>
        <v/>
      </c>
      <c r="AA31" s="44"/>
      <c r="AB31" s="65"/>
    </row>
    <row r="32" spans="1:28" ht="25" hidden="1">
      <c r="A32" s="751">
        <v>560</v>
      </c>
      <c r="B32" s="752" t="s">
        <v>35</v>
      </c>
      <c r="C32" s="751" t="s">
        <v>2960</v>
      </c>
      <c r="D32" s="752" t="s">
        <v>593</v>
      </c>
      <c r="E32" s="752" t="s">
        <v>76</v>
      </c>
      <c r="F32" s="751">
        <v>54895</v>
      </c>
      <c r="G32" s="752" t="s">
        <v>43</v>
      </c>
      <c r="H32" s="752" t="s">
        <v>1245</v>
      </c>
      <c r="I32" s="752" t="s">
        <v>60</v>
      </c>
      <c r="J32" s="751">
        <v>22</v>
      </c>
      <c r="K32" s="751">
        <v>2</v>
      </c>
      <c r="L32" s="752" t="s">
        <v>54</v>
      </c>
      <c r="M32" s="752" t="s">
        <v>37</v>
      </c>
      <c r="N32" s="752" t="s">
        <v>38</v>
      </c>
      <c r="O32" s="752" t="s">
        <v>39</v>
      </c>
      <c r="P32" s="752" t="s">
        <v>1238</v>
      </c>
      <c r="Q32" s="753">
        <v>0</v>
      </c>
      <c r="R32" s="753">
        <v>0</v>
      </c>
      <c r="S32" s="753">
        <v>375319</v>
      </c>
      <c r="T32" s="753">
        <v>375319</v>
      </c>
      <c r="U32" s="753">
        <v>42152</v>
      </c>
      <c r="V32" s="751">
        <v>2019</v>
      </c>
      <c r="W32" s="222"/>
      <c r="X32" s="186"/>
      <c r="Y32" s="178" t="str">
        <f t="shared" si="0"/>
        <v/>
      </c>
      <c r="Z32" s="178" t="str">
        <f t="shared" si="1"/>
        <v/>
      </c>
      <c r="AA32" s="44"/>
      <c r="AB32" s="65"/>
    </row>
    <row r="33" spans="1:28" hidden="1">
      <c r="A33" s="751">
        <v>561</v>
      </c>
      <c r="B33" s="752" t="s">
        <v>35</v>
      </c>
      <c r="C33" s="751" t="s">
        <v>2960</v>
      </c>
      <c r="D33" s="752" t="s">
        <v>594</v>
      </c>
      <c r="E33" s="752" t="s">
        <v>584</v>
      </c>
      <c r="F33" s="751">
        <v>22379</v>
      </c>
      <c r="G33" s="752" t="s">
        <v>43</v>
      </c>
      <c r="H33" s="752" t="s">
        <v>1245</v>
      </c>
      <c r="I33" s="752" t="s">
        <v>60</v>
      </c>
      <c r="J33" s="751">
        <v>22</v>
      </c>
      <c r="K33" s="751">
        <v>2</v>
      </c>
      <c r="L33" s="752" t="s">
        <v>54</v>
      </c>
      <c r="M33" s="752" t="s">
        <v>52</v>
      </c>
      <c r="N33" s="752" t="s">
        <v>68</v>
      </c>
      <c r="O33" s="752" t="s">
        <v>69</v>
      </c>
      <c r="P33" s="752" t="s">
        <v>49</v>
      </c>
      <c r="Q33" s="753">
        <v>0</v>
      </c>
      <c r="R33" s="753">
        <v>0</v>
      </c>
      <c r="S33" s="753">
        <v>0</v>
      </c>
      <c r="T33" s="753">
        <v>0</v>
      </c>
      <c r="U33" s="753">
        <v>0</v>
      </c>
      <c r="V33" s="751">
        <v>2019</v>
      </c>
      <c r="W33" s="222"/>
      <c r="X33" s="186" t="str">
        <f t="shared" ref="X33:X49" si="3">IF(OR(K33&gt;3,T33=0,NOT(U33&gt;0)),"",T33/U33)</f>
        <v/>
      </c>
      <c r="Y33" s="178" t="str">
        <f t="shared" si="0"/>
        <v/>
      </c>
      <c r="Z33" s="178" t="str">
        <f t="shared" si="1"/>
        <v/>
      </c>
      <c r="AA33" s="44"/>
      <c r="AB33" s="65"/>
    </row>
    <row r="34" spans="1:28" hidden="1">
      <c r="A34" s="751">
        <v>561</v>
      </c>
      <c r="B34" s="752" t="s">
        <v>35</v>
      </c>
      <c r="C34" s="751" t="s">
        <v>2960</v>
      </c>
      <c r="D34" s="752" t="s">
        <v>594</v>
      </c>
      <c r="E34" s="752" t="s">
        <v>584</v>
      </c>
      <c r="F34" s="751">
        <v>22379</v>
      </c>
      <c r="G34" s="752" t="s">
        <v>43</v>
      </c>
      <c r="H34" s="752" t="s">
        <v>1245</v>
      </c>
      <c r="I34" s="752" t="s">
        <v>60</v>
      </c>
      <c r="J34" s="751">
        <v>22</v>
      </c>
      <c r="K34" s="751">
        <v>2</v>
      </c>
      <c r="L34" s="752" t="s">
        <v>54</v>
      </c>
      <c r="M34" s="752" t="s">
        <v>52</v>
      </c>
      <c r="N34" s="752" t="s">
        <v>78</v>
      </c>
      <c r="O34" s="752" t="s">
        <v>69</v>
      </c>
      <c r="P34" s="752" t="s">
        <v>49</v>
      </c>
      <c r="Q34" s="753">
        <v>365</v>
      </c>
      <c r="R34" s="753">
        <v>365</v>
      </c>
      <c r="S34" s="753">
        <v>2070</v>
      </c>
      <c r="T34" s="753">
        <v>2070</v>
      </c>
      <c r="U34" s="753">
        <v>136</v>
      </c>
      <c r="V34" s="751">
        <v>2019</v>
      </c>
      <c r="W34" s="222"/>
      <c r="X34" s="186">
        <f t="shared" si="3"/>
        <v>15.220588235294118</v>
      </c>
      <c r="Y34" s="178" t="str">
        <f t="shared" si="0"/>
        <v/>
      </c>
      <c r="Z34" s="178" t="str">
        <f t="shared" si="1"/>
        <v/>
      </c>
      <c r="AA34" s="44"/>
      <c r="AB34" s="65"/>
    </row>
    <row r="35" spans="1:28" hidden="1">
      <c r="A35" s="751">
        <v>562</v>
      </c>
      <c r="B35" s="752" t="s">
        <v>35</v>
      </c>
      <c r="C35" s="751" t="s">
        <v>2960</v>
      </c>
      <c r="D35" s="752" t="s">
        <v>85</v>
      </c>
      <c r="E35" s="752" t="s">
        <v>86</v>
      </c>
      <c r="F35" s="751">
        <v>12490</v>
      </c>
      <c r="G35" s="752" t="s">
        <v>43</v>
      </c>
      <c r="H35" s="752" t="s">
        <v>1245</v>
      </c>
      <c r="I35" s="752" t="s">
        <v>60</v>
      </c>
      <c r="J35" s="751">
        <v>22</v>
      </c>
      <c r="K35" s="751">
        <v>2</v>
      </c>
      <c r="L35" s="752" t="s">
        <v>54</v>
      </c>
      <c r="M35" s="752" t="s">
        <v>52</v>
      </c>
      <c r="N35" s="752" t="s">
        <v>78</v>
      </c>
      <c r="O35" s="752" t="s">
        <v>69</v>
      </c>
      <c r="P35" s="752" t="s">
        <v>49</v>
      </c>
      <c r="Q35" s="753">
        <v>378</v>
      </c>
      <c r="R35" s="753">
        <v>378</v>
      </c>
      <c r="S35" s="753">
        <v>2118</v>
      </c>
      <c r="T35" s="753">
        <v>2118</v>
      </c>
      <c r="U35" s="753">
        <v>-232</v>
      </c>
      <c r="V35" s="751">
        <v>2019</v>
      </c>
      <c r="W35" s="222" t="s">
        <v>2666</v>
      </c>
      <c r="X35" s="186" t="str">
        <f t="shared" si="3"/>
        <v/>
      </c>
      <c r="Y35" s="178" t="str">
        <f t="shared" si="0"/>
        <v/>
      </c>
      <c r="Z35" s="178" t="str">
        <f t="shared" si="1"/>
        <v/>
      </c>
      <c r="AA35" s="44"/>
      <c r="AB35" s="65"/>
    </row>
    <row r="36" spans="1:28" hidden="1">
      <c r="A36" s="751">
        <v>562</v>
      </c>
      <c r="B36" s="752" t="s">
        <v>35</v>
      </c>
      <c r="C36" s="751" t="s">
        <v>2960</v>
      </c>
      <c r="D36" s="752" t="s">
        <v>85</v>
      </c>
      <c r="E36" s="752" t="s">
        <v>86</v>
      </c>
      <c r="F36" s="751">
        <v>12490</v>
      </c>
      <c r="G36" s="752" t="s">
        <v>43</v>
      </c>
      <c r="H36" s="752" t="s">
        <v>1245</v>
      </c>
      <c r="I36" s="752" t="s">
        <v>60</v>
      </c>
      <c r="J36" s="751">
        <v>22</v>
      </c>
      <c r="K36" s="751">
        <v>2</v>
      </c>
      <c r="L36" s="752" t="s">
        <v>54</v>
      </c>
      <c r="M36" s="752" t="s">
        <v>44</v>
      </c>
      <c r="N36" s="752" t="s">
        <v>48</v>
      </c>
      <c r="O36" s="752" t="s">
        <v>48</v>
      </c>
      <c r="P36" s="752" t="s">
        <v>49</v>
      </c>
      <c r="Q36" s="753">
        <v>261</v>
      </c>
      <c r="R36" s="753">
        <v>261</v>
      </c>
      <c r="S36" s="753">
        <v>1462</v>
      </c>
      <c r="T36" s="753">
        <v>1462</v>
      </c>
      <c r="U36" s="753">
        <v>-1224.57</v>
      </c>
      <c r="V36" s="751">
        <v>2019</v>
      </c>
      <c r="W36" s="222" t="s">
        <v>2666</v>
      </c>
      <c r="X36" s="186" t="str">
        <f t="shared" si="3"/>
        <v/>
      </c>
      <c r="Y36" s="178" t="str">
        <f t="shared" si="0"/>
        <v/>
      </c>
      <c r="Z36" s="178" t="str">
        <f t="shared" si="1"/>
        <v/>
      </c>
      <c r="AA36" s="44"/>
      <c r="AB36" s="65"/>
    </row>
    <row r="37" spans="1:28" hidden="1">
      <c r="A37" s="751">
        <v>562</v>
      </c>
      <c r="B37" s="752" t="s">
        <v>35</v>
      </c>
      <c r="C37" s="751" t="s">
        <v>2960</v>
      </c>
      <c r="D37" s="752" t="s">
        <v>85</v>
      </c>
      <c r="E37" s="752" t="s">
        <v>86</v>
      </c>
      <c r="F37" s="751">
        <v>12490</v>
      </c>
      <c r="G37" s="752" t="s">
        <v>43</v>
      </c>
      <c r="H37" s="752" t="s">
        <v>1245</v>
      </c>
      <c r="I37" s="752" t="s">
        <v>60</v>
      </c>
      <c r="J37" s="751">
        <v>22</v>
      </c>
      <c r="K37" s="751">
        <v>2</v>
      </c>
      <c r="L37" s="752" t="s">
        <v>54</v>
      </c>
      <c r="M37" s="752" t="s">
        <v>44</v>
      </c>
      <c r="N37" s="752" t="s">
        <v>41</v>
      </c>
      <c r="O37" s="752" t="s">
        <v>41</v>
      </c>
      <c r="P37" s="752" t="s">
        <v>1091</v>
      </c>
      <c r="Q37" s="753">
        <v>2846256</v>
      </c>
      <c r="R37" s="753">
        <v>2846256</v>
      </c>
      <c r="S37" s="753">
        <v>2931644</v>
      </c>
      <c r="T37" s="753">
        <v>2931644</v>
      </c>
      <c r="U37" s="753">
        <v>193382.59</v>
      </c>
      <c r="V37" s="751">
        <v>2019</v>
      </c>
      <c r="W37" s="222" t="s">
        <v>2666</v>
      </c>
      <c r="X37" s="186">
        <f t="shared" si="3"/>
        <v>15.159813507513784</v>
      </c>
      <c r="Y37" s="178" t="str">
        <f t="shared" si="0"/>
        <v/>
      </c>
      <c r="Z37" s="178" t="str">
        <f t="shared" si="1"/>
        <v/>
      </c>
      <c r="AA37" s="44"/>
      <c r="AB37" s="65"/>
    </row>
    <row r="38" spans="1:28" hidden="1">
      <c r="A38" s="751">
        <v>562</v>
      </c>
      <c r="B38" s="752" t="s">
        <v>35</v>
      </c>
      <c r="C38" s="751" t="s">
        <v>2960</v>
      </c>
      <c r="D38" s="752" t="s">
        <v>85</v>
      </c>
      <c r="E38" s="752" t="s">
        <v>86</v>
      </c>
      <c r="F38" s="751">
        <v>12490</v>
      </c>
      <c r="G38" s="752" t="s">
        <v>43</v>
      </c>
      <c r="H38" s="752" t="s">
        <v>1245</v>
      </c>
      <c r="I38" s="752" t="s">
        <v>60</v>
      </c>
      <c r="J38" s="751">
        <v>22</v>
      </c>
      <c r="K38" s="751">
        <v>2</v>
      </c>
      <c r="L38" s="752" t="s">
        <v>54</v>
      </c>
      <c r="M38" s="752" t="s">
        <v>44</v>
      </c>
      <c r="N38" s="752" t="s">
        <v>63</v>
      </c>
      <c r="O38" s="752" t="s">
        <v>63</v>
      </c>
      <c r="P38" s="752" t="s">
        <v>49</v>
      </c>
      <c r="Q38" s="753">
        <v>5581</v>
      </c>
      <c r="R38" s="753">
        <v>5581</v>
      </c>
      <c r="S38" s="753">
        <v>34435</v>
      </c>
      <c r="T38" s="753">
        <v>34435</v>
      </c>
      <c r="U38" s="753">
        <v>994.98</v>
      </c>
      <c r="V38" s="751">
        <v>2019</v>
      </c>
      <c r="W38" s="222" t="s">
        <v>2666</v>
      </c>
      <c r="X38" s="186">
        <f t="shared" si="3"/>
        <v>34.608735853987014</v>
      </c>
      <c r="Y38" s="178" t="str">
        <f t="shared" si="0"/>
        <v/>
      </c>
      <c r="Z38" s="178" t="str">
        <f t="shared" si="1"/>
        <v/>
      </c>
      <c r="AA38" s="44"/>
      <c r="AB38" s="65"/>
    </row>
    <row r="39" spans="1:28" hidden="1">
      <c r="A39" s="751">
        <v>563</v>
      </c>
      <c r="B39" s="752" t="s">
        <v>35</v>
      </c>
      <c r="C39" s="751" t="s">
        <v>2960</v>
      </c>
      <c r="D39" s="752" t="s">
        <v>595</v>
      </c>
      <c r="E39" s="752" t="s">
        <v>1174</v>
      </c>
      <c r="F39" s="751">
        <v>4426</v>
      </c>
      <c r="G39" s="752" t="s">
        <v>43</v>
      </c>
      <c r="H39" s="752" t="s">
        <v>1245</v>
      </c>
      <c r="I39" s="752" t="s">
        <v>60</v>
      </c>
      <c r="J39" s="751">
        <v>22</v>
      </c>
      <c r="K39" s="751">
        <v>2</v>
      </c>
      <c r="L39" s="752" t="s">
        <v>54</v>
      </c>
      <c r="M39" s="752" t="s">
        <v>52</v>
      </c>
      <c r="N39" s="752" t="s">
        <v>78</v>
      </c>
      <c r="O39" s="752" t="s">
        <v>69</v>
      </c>
      <c r="P39" s="752" t="s">
        <v>49</v>
      </c>
      <c r="Q39" s="753">
        <v>5173</v>
      </c>
      <c r="R39" s="753">
        <v>5173</v>
      </c>
      <c r="S39" s="753">
        <v>28974</v>
      </c>
      <c r="T39" s="753">
        <v>28974</v>
      </c>
      <c r="U39" s="753">
        <v>1668</v>
      </c>
      <c r="V39" s="751">
        <v>2019</v>
      </c>
      <c r="W39" s="222" t="s">
        <v>2666</v>
      </c>
      <c r="X39" s="186">
        <f t="shared" si="3"/>
        <v>17.370503597122301</v>
      </c>
      <c r="Y39" s="178" t="str">
        <f t="shared" si="0"/>
        <v/>
      </c>
      <c r="Z39" s="178" t="str">
        <f t="shared" si="1"/>
        <v/>
      </c>
      <c r="AA39" s="44"/>
      <c r="AB39" s="65"/>
    </row>
    <row r="40" spans="1:28" hidden="1">
      <c r="A40" s="751">
        <v>565</v>
      </c>
      <c r="B40" s="752" t="s">
        <v>35</v>
      </c>
      <c r="C40" s="751" t="s">
        <v>2960</v>
      </c>
      <c r="D40" s="752" t="s">
        <v>596</v>
      </c>
      <c r="E40" s="752" t="s">
        <v>584</v>
      </c>
      <c r="F40" s="751">
        <v>22379</v>
      </c>
      <c r="G40" s="752" t="s">
        <v>43</v>
      </c>
      <c r="H40" s="752" t="s">
        <v>1245</v>
      </c>
      <c r="I40" s="752" t="s">
        <v>60</v>
      </c>
      <c r="J40" s="751">
        <v>22</v>
      </c>
      <c r="K40" s="751">
        <v>2</v>
      </c>
      <c r="L40" s="752" t="s">
        <v>54</v>
      </c>
      <c r="M40" s="752" t="s">
        <v>52</v>
      </c>
      <c r="N40" s="752" t="s">
        <v>68</v>
      </c>
      <c r="O40" s="752" t="s">
        <v>69</v>
      </c>
      <c r="P40" s="752" t="s">
        <v>49</v>
      </c>
      <c r="Q40" s="753">
        <v>0</v>
      </c>
      <c r="R40" s="753">
        <v>0</v>
      </c>
      <c r="S40" s="753">
        <v>0</v>
      </c>
      <c r="T40" s="753">
        <v>0</v>
      </c>
      <c r="U40" s="753">
        <v>0</v>
      </c>
      <c r="V40" s="751">
        <v>2019</v>
      </c>
      <c r="W40" s="222"/>
      <c r="X40" s="186" t="str">
        <f t="shared" si="3"/>
        <v/>
      </c>
      <c r="Y40" s="178" t="str">
        <f t="shared" si="0"/>
        <v/>
      </c>
      <c r="Z40" s="178" t="str">
        <f t="shared" si="1"/>
        <v/>
      </c>
      <c r="AA40" s="44"/>
      <c r="AB40" s="65"/>
    </row>
    <row r="41" spans="1:28" hidden="1">
      <c r="A41" s="751">
        <v>565</v>
      </c>
      <c r="B41" s="752" t="s">
        <v>35</v>
      </c>
      <c r="C41" s="751" t="s">
        <v>2960</v>
      </c>
      <c r="D41" s="752" t="s">
        <v>596</v>
      </c>
      <c r="E41" s="752" t="s">
        <v>584</v>
      </c>
      <c r="F41" s="751">
        <v>22379</v>
      </c>
      <c r="G41" s="752" t="s">
        <v>43</v>
      </c>
      <c r="H41" s="752" t="s">
        <v>1245</v>
      </c>
      <c r="I41" s="752" t="s">
        <v>60</v>
      </c>
      <c r="J41" s="751">
        <v>22</v>
      </c>
      <c r="K41" s="751">
        <v>2</v>
      </c>
      <c r="L41" s="752" t="s">
        <v>54</v>
      </c>
      <c r="M41" s="752" t="s">
        <v>52</v>
      </c>
      <c r="N41" s="752" t="s">
        <v>78</v>
      </c>
      <c r="O41" s="752" t="s">
        <v>69</v>
      </c>
      <c r="P41" s="752" t="s">
        <v>49</v>
      </c>
      <c r="Q41" s="753">
        <v>271</v>
      </c>
      <c r="R41" s="753">
        <v>271</v>
      </c>
      <c r="S41" s="753">
        <v>1535</v>
      </c>
      <c r="T41" s="753">
        <v>1535</v>
      </c>
      <c r="U41" s="753">
        <v>95</v>
      </c>
      <c r="V41" s="751">
        <v>2019</v>
      </c>
      <c r="W41" s="222"/>
      <c r="X41" s="186">
        <f t="shared" si="3"/>
        <v>16.157894736842106</v>
      </c>
      <c r="Y41" s="178" t="str">
        <f t="shared" si="0"/>
        <v/>
      </c>
      <c r="Z41" s="178" t="str">
        <f t="shared" si="1"/>
        <v/>
      </c>
      <c r="AA41" s="44"/>
      <c r="AB41" s="65"/>
    </row>
    <row r="42" spans="1:28" ht="25" hidden="1">
      <c r="A42" s="751">
        <v>566</v>
      </c>
      <c r="B42" s="752" t="s">
        <v>35</v>
      </c>
      <c r="C42" s="751">
        <v>2</v>
      </c>
      <c r="D42" s="752" t="s">
        <v>87</v>
      </c>
      <c r="E42" s="752" t="s">
        <v>2247</v>
      </c>
      <c r="F42" s="751">
        <v>5221</v>
      </c>
      <c r="G42" s="752" t="s">
        <v>43</v>
      </c>
      <c r="H42" s="752" t="s">
        <v>1245</v>
      </c>
      <c r="I42" s="752" t="s">
        <v>60</v>
      </c>
      <c r="J42" s="751">
        <v>22</v>
      </c>
      <c r="K42" s="751">
        <v>2</v>
      </c>
      <c r="L42" s="752" t="s">
        <v>54</v>
      </c>
      <c r="M42" s="752" t="s">
        <v>44</v>
      </c>
      <c r="N42" s="752" t="s">
        <v>55</v>
      </c>
      <c r="O42" s="752" t="s">
        <v>55</v>
      </c>
      <c r="P42" s="752" t="s">
        <v>1238</v>
      </c>
      <c r="Q42" s="753">
        <v>0</v>
      </c>
      <c r="R42" s="753">
        <v>0</v>
      </c>
      <c r="S42" s="753">
        <v>75584102</v>
      </c>
      <c r="T42" s="753">
        <v>75584102</v>
      </c>
      <c r="U42" s="753">
        <v>7238741</v>
      </c>
      <c r="V42" s="751">
        <v>2019</v>
      </c>
      <c r="W42" s="222"/>
      <c r="X42" s="186">
        <f t="shared" si="3"/>
        <v>10.44160883777994</v>
      </c>
      <c r="Y42" s="178" t="str">
        <f t="shared" si="0"/>
        <v/>
      </c>
      <c r="Z42" s="178" t="str">
        <f t="shared" si="1"/>
        <v/>
      </c>
      <c r="AA42" s="44"/>
      <c r="AB42" s="65"/>
    </row>
    <row r="43" spans="1:28" ht="25" hidden="1">
      <c r="A43" s="751">
        <v>566</v>
      </c>
      <c r="B43" s="752" t="s">
        <v>35</v>
      </c>
      <c r="C43" s="751">
        <v>3</v>
      </c>
      <c r="D43" s="752" t="s">
        <v>87</v>
      </c>
      <c r="E43" s="752" t="s">
        <v>2247</v>
      </c>
      <c r="F43" s="751">
        <v>5221</v>
      </c>
      <c r="G43" s="752" t="s">
        <v>43</v>
      </c>
      <c r="H43" s="752" t="s">
        <v>1245</v>
      </c>
      <c r="I43" s="752" t="s">
        <v>60</v>
      </c>
      <c r="J43" s="751">
        <v>22</v>
      </c>
      <c r="K43" s="751">
        <v>2</v>
      </c>
      <c r="L43" s="752" t="s">
        <v>54</v>
      </c>
      <c r="M43" s="752" t="s">
        <v>44</v>
      </c>
      <c r="N43" s="752" t="s">
        <v>55</v>
      </c>
      <c r="O43" s="752" t="s">
        <v>55</v>
      </c>
      <c r="P43" s="752" t="s">
        <v>1238</v>
      </c>
      <c r="Q43" s="753">
        <v>0</v>
      </c>
      <c r="R43" s="753">
        <v>0</v>
      </c>
      <c r="S43" s="753">
        <v>99139493</v>
      </c>
      <c r="T43" s="753">
        <v>99139493</v>
      </c>
      <c r="U43" s="753">
        <v>9494657</v>
      </c>
      <c r="V43" s="751">
        <v>2019</v>
      </c>
      <c r="W43" s="222"/>
      <c r="X43" s="186">
        <f t="shared" si="3"/>
        <v>10.441608685811399</v>
      </c>
      <c r="Y43" s="178" t="str">
        <f t="shared" si="0"/>
        <v/>
      </c>
      <c r="Z43" s="178" t="str">
        <f t="shared" si="1"/>
        <v/>
      </c>
      <c r="AA43" s="44"/>
      <c r="AB43" s="65"/>
    </row>
    <row r="44" spans="1:28" hidden="1">
      <c r="A44" s="751">
        <v>568</v>
      </c>
      <c r="B44" s="752" t="s">
        <v>35</v>
      </c>
      <c r="C44" s="751" t="s">
        <v>2960</v>
      </c>
      <c r="D44" s="752" t="s">
        <v>88</v>
      </c>
      <c r="E44" s="752" t="s">
        <v>89</v>
      </c>
      <c r="F44" s="751">
        <v>15452</v>
      </c>
      <c r="G44" s="752" t="s">
        <v>43</v>
      </c>
      <c r="H44" s="752" t="s">
        <v>1245</v>
      </c>
      <c r="I44" s="752" t="s">
        <v>60</v>
      </c>
      <c r="J44" s="751">
        <v>22</v>
      </c>
      <c r="K44" s="751">
        <v>2</v>
      </c>
      <c r="L44" s="752" t="s">
        <v>54</v>
      </c>
      <c r="M44" s="752" t="s">
        <v>40</v>
      </c>
      <c r="N44" s="752" t="s">
        <v>41</v>
      </c>
      <c r="O44" s="752" t="s">
        <v>41</v>
      </c>
      <c r="P44" s="752" t="s">
        <v>1091</v>
      </c>
      <c r="Q44" s="753">
        <v>143378</v>
      </c>
      <c r="R44" s="753">
        <v>143378</v>
      </c>
      <c r="S44" s="753">
        <v>148420</v>
      </c>
      <c r="T44" s="753">
        <v>148420</v>
      </c>
      <c r="U44" s="753">
        <v>721664</v>
      </c>
      <c r="V44" s="751">
        <v>2019</v>
      </c>
      <c r="W44" s="222"/>
      <c r="X44" s="186">
        <f t="shared" si="3"/>
        <v>0.20566357750975522</v>
      </c>
      <c r="Y44" s="178" t="str">
        <f t="shared" si="0"/>
        <v/>
      </c>
      <c r="Z44" s="178" t="str">
        <f t="shared" si="1"/>
        <v/>
      </c>
      <c r="AA44" s="44"/>
      <c r="AB44" s="65"/>
    </row>
    <row r="45" spans="1:28" hidden="1">
      <c r="A45" s="751">
        <v>568</v>
      </c>
      <c r="B45" s="752" t="s">
        <v>35</v>
      </c>
      <c r="C45" s="751" t="s">
        <v>2960</v>
      </c>
      <c r="D45" s="752" t="s">
        <v>88</v>
      </c>
      <c r="E45" s="752" t="s">
        <v>89</v>
      </c>
      <c r="F45" s="751">
        <v>15452</v>
      </c>
      <c r="G45" s="752" t="s">
        <v>43</v>
      </c>
      <c r="H45" s="752" t="s">
        <v>1245</v>
      </c>
      <c r="I45" s="752" t="s">
        <v>60</v>
      </c>
      <c r="J45" s="751">
        <v>22</v>
      </c>
      <c r="K45" s="751">
        <v>2</v>
      </c>
      <c r="L45" s="752" t="s">
        <v>54</v>
      </c>
      <c r="M45" s="752" t="s">
        <v>43</v>
      </c>
      <c r="N45" s="752" t="s">
        <v>41</v>
      </c>
      <c r="O45" s="752" t="s">
        <v>41</v>
      </c>
      <c r="P45" s="752" t="s">
        <v>1091</v>
      </c>
      <c r="Q45" s="753">
        <v>12945753</v>
      </c>
      <c r="R45" s="753">
        <v>12945753</v>
      </c>
      <c r="S45" s="753">
        <v>13432229</v>
      </c>
      <c r="T45" s="753">
        <v>13432229</v>
      </c>
      <c r="U45" s="753">
        <v>1325526</v>
      </c>
      <c r="V45" s="751">
        <v>2019</v>
      </c>
      <c r="W45" s="222"/>
      <c r="X45" s="186">
        <f t="shared" si="3"/>
        <v>10.133508509074888</v>
      </c>
      <c r="Y45" s="178" t="str">
        <f t="shared" si="0"/>
        <v/>
      </c>
      <c r="Z45" s="178" t="str">
        <f t="shared" si="1"/>
        <v/>
      </c>
      <c r="AA45" s="44"/>
      <c r="AB45" s="65"/>
    </row>
    <row r="46" spans="1:28" hidden="1">
      <c r="A46" s="751">
        <v>568</v>
      </c>
      <c r="B46" s="752" t="s">
        <v>35</v>
      </c>
      <c r="C46" s="751" t="s">
        <v>2960</v>
      </c>
      <c r="D46" s="752" t="s">
        <v>88</v>
      </c>
      <c r="E46" s="752" t="s">
        <v>89</v>
      </c>
      <c r="F46" s="751">
        <v>15452</v>
      </c>
      <c r="G46" s="752" t="s">
        <v>43</v>
      </c>
      <c r="H46" s="752" t="s">
        <v>1245</v>
      </c>
      <c r="I46" s="752" t="s">
        <v>60</v>
      </c>
      <c r="J46" s="751">
        <v>22</v>
      </c>
      <c r="K46" s="751">
        <v>2</v>
      </c>
      <c r="L46" s="752" t="s">
        <v>54</v>
      </c>
      <c r="M46" s="752" t="s">
        <v>52</v>
      </c>
      <c r="N46" s="752" t="s">
        <v>78</v>
      </c>
      <c r="O46" s="752" t="s">
        <v>69</v>
      </c>
      <c r="P46" s="752" t="s">
        <v>49</v>
      </c>
      <c r="Q46" s="753">
        <v>691</v>
      </c>
      <c r="R46" s="753">
        <v>691</v>
      </c>
      <c r="S46" s="753">
        <v>4005</v>
      </c>
      <c r="T46" s="753">
        <v>4005</v>
      </c>
      <c r="U46" s="753">
        <v>189</v>
      </c>
      <c r="V46" s="751">
        <v>2019</v>
      </c>
      <c r="W46" s="222"/>
      <c r="X46" s="186">
        <f t="shared" si="3"/>
        <v>21.19047619047619</v>
      </c>
      <c r="Y46" s="178" t="str">
        <f t="shared" si="0"/>
        <v/>
      </c>
      <c r="Z46" s="178" t="str">
        <f t="shared" si="1"/>
        <v/>
      </c>
      <c r="AA46" s="44"/>
      <c r="AB46" s="65"/>
    </row>
    <row r="47" spans="1:28" hidden="1">
      <c r="A47" s="751">
        <v>568</v>
      </c>
      <c r="B47" s="752" t="s">
        <v>35</v>
      </c>
      <c r="C47" s="751" t="s">
        <v>2960</v>
      </c>
      <c r="D47" s="752" t="s">
        <v>88</v>
      </c>
      <c r="E47" s="752" t="s">
        <v>89</v>
      </c>
      <c r="F47" s="751">
        <v>15452</v>
      </c>
      <c r="G47" s="752" t="s">
        <v>43</v>
      </c>
      <c r="H47" s="752" t="s">
        <v>1245</v>
      </c>
      <c r="I47" s="752" t="s">
        <v>60</v>
      </c>
      <c r="J47" s="751">
        <v>22</v>
      </c>
      <c r="K47" s="751">
        <v>2</v>
      </c>
      <c r="L47" s="752" t="s">
        <v>54</v>
      </c>
      <c r="M47" s="752" t="s">
        <v>44</v>
      </c>
      <c r="N47" s="752" t="s">
        <v>48</v>
      </c>
      <c r="O47" s="752" t="s">
        <v>48</v>
      </c>
      <c r="P47" s="752" t="s">
        <v>49</v>
      </c>
      <c r="Q47" s="753">
        <v>3631</v>
      </c>
      <c r="R47" s="753">
        <v>3631</v>
      </c>
      <c r="S47" s="753">
        <v>21198</v>
      </c>
      <c r="T47" s="753">
        <v>21198</v>
      </c>
      <c r="U47" s="753">
        <v>-399.73399999999998</v>
      </c>
      <c r="V47" s="751">
        <v>2019</v>
      </c>
      <c r="W47" s="222" t="s">
        <v>2666</v>
      </c>
      <c r="X47" s="186" t="str">
        <f t="shared" si="3"/>
        <v/>
      </c>
      <c r="Y47" s="178" t="str">
        <f t="shared" si="0"/>
        <v/>
      </c>
      <c r="Z47" s="178" t="str">
        <f t="shared" si="1"/>
        <v/>
      </c>
      <c r="AA47" s="44"/>
      <c r="AB47" s="65"/>
    </row>
    <row r="48" spans="1:28" hidden="1">
      <c r="A48" s="751">
        <v>568</v>
      </c>
      <c r="B48" s="752" t="s">
        <v>35</v>
      </c>
      <c r="C48" s="751" t="s">
        <v>2960</v>
      </c>
      <c r="D48" s="752" t="s">
        <v>88</v>
      </c>
      <c r="E48" s="752" t="s">
        <v>89</v>
      </c>
      <c r="F48" s="751">
        <v>15452</v>
      </c>
      <c r="G48" s="752" t="s">
        <v>43</v>
      </c>
      <c r="H48" s="752" t="s">
        <v>1245</v>
      </c>
      <c r="I48" s="752" t="s">
        <v>60</v>
      </c>
      <c r="J48" s="751">
        <v>22</v>
      </c>
      <c r="K48" s="751">
        <v>2</v>
      </c>
      <c r="L48" s="752" t="s">
        <v>54</v>
      </c>
      <c r="M48" s="752" t="s">
        <v>44</v>
      </c>
      <c r="N48" s="752" t="s">
        <v>68</v>
      </c>
      <c r="O48" s="752" t="s">
        <v>69</v>
      </c>
      <c r="P48" s="752" t="s">
        <v>49</v>
      </c>
      <c r="Q48" s="753">
        <v>0</v>
      </c>
      <c r="R48" s="753">
        <v>0</v>
      </c>
      <c r="S48" s="753">
        <v>0</v>
      </c>
      <c r="T48" s="753">
        <v>0</v>
      </c>
      <c r="U48" s="753">
        <v>0</v>
      </c>
      <c r="V48" s="751">
        <v>2019</v>
      </c>
      <c r="W48" s="222" t="s">
        <v>2666</v>
      </c>
      <c r="X48" s="186" t="str">
        <f t="shared" si="3"/>
        <v/>
      </c>
      <c r="Y48" s="178" t="str">
        <f t="shared" si="0"/>
        <v/>
      </c>
      <c r="Z48" s="178" t="str">
        <f t="shared" si="1"/>
        <v/>
      </c>
      <c r="AA48" s="44"/>
      <c r="AB48" s="65"/>
    </row>
    <row r="49" spans="1:28" hidden="1">
      <c r="A49" s="751">
        <v>568</v>
      </c>
      <c r="B49" s="752" t="s">
        <v>35</v>
      </c>
      <c r="C49" s="751" t="s">
        <v>2960</v>
      </c>
      <c r="D49" s="752" t="s">
        <v>88</v>
      </c>
      <c r="E49" s="752" t="s">
        <v>89</v>
      </c>
      <c r="F49" s="751">
        <v>15452</v>
      </c>
      <c r="G49" s="752" t="s">
        <v>43</v>
      </c>
      <c r="H49" s="752" t="s">
        <v>1245</v>
      </c>
      <c r="I49" s="752" t="s">
        <v>60</v>
      </c>
      <c r="J49" s="751">
        <v>22</v>
      </c>
      <c r="K49" s="751">
        <v>2</v>
      </c>
      <c r="L49" s="752" t="s">
        <v>54</v>
      </c>
      <c r="M49" s="752" t="s">
        <v>44</v>
      </c>
      <c r="N49" s="752" t="s">
        <v>41</v>
      </c>
      <c r="O49" s="752" t="s">
        <v>41</v>
      </c>
      <c r="P49" s="752" t="s">
        <v>1091</v>
      </c>
      <c r="Q49" s="753">
        <v>0</v>
      </c>
      <c r="R49" s="753">
        <v>0</v>
      </c>
      <c r="S49" s="753">
        <v>0</v>
      </c>
      <c r="T49" s="753">
        <v>0</v>
      </c>
      <c r="U49" s="753">
        <v>0</v>
      </c>
      <c r="V49" s="751">
        <v>2019</v>
      </c>
      <c r="W49" s="222" t="s">
        <v>2666</v>
      </c>
      <c r="X49" s="186" t="str">
        <f t="shared" si="3"/>
        <v/>
      </c>
      <c r="Y49" s="178" t="str">
        <f t="shared" si="0"/>
        <v/>
      </c>
      <c r="Z49" s="178" t="str">
        <f t="shared" si="1"/>
        <v/>
      </c>
      <c r="AA49" s="44"/>
      <c r="AB49" s="65"/>
    </row>
    <row r="50" spans="1:28" hidden="1">
      <c r="A50" s="751">
        <v>568</v>
      </c>
      <c r="B50" s="752" t="s">
        <v>35</v>
      </c>
      <c r="C50" s="751" t="s">
        <v>2960</v>
      </c>
      <c r="D50" s="752" t="s">
        <v>88</v>
      </c>
      <c r="E50" s="752" t="s">
        <v>89</v>
      </c>
      <c r="F50" s="751">
        <v>15452</v>
      </c>
      <c r="G50" s="752" t="s">
        <v>43</v>
      </c>
      <c r="H50" s="752" t="s">
        <v>1245</v>
      </c>
      <c r="I50" s="752" t="s">
        <v>60</v>
      </c>
      <c r="J50" s="751">
        <v>22</v>
      </c>
      <c r="K50" s="751">
        <v>2</v>
      </c>
      <c r="L50" s="752" t="s">
        <v>54</v>
      </c>
      <c r="M50" s="752" t="s">
        <v>44</v>
      </c>
      <c r="N50" s="752" t="s">
        <v>63</v>
      </c>
      <c r="O50" s="752" t="s">
        <v>63</v>
      </c>
      <c r="P50" s="752" t="s">
        <v>49</v>
      </c>
      <c r="Q50" s="753">
        <v>0</v>
      </c>
      <c r="R50" s="753">
        <v>0</v>
      </c>
      <c r="S50" s="753">
        <v>0</v>
      </c>
      <c r="T50" s="753">
        <v>0</v>
      </c>
      <c r="U50" s="753">
        <v>0</v>
      </c>
      <c r="V50" s="751">
        <v>2019</v>
      </c>
      <c r="W50" s="222" t="s">
        <v>2666</v>
      </c>
      <c r="X50" s="186"/>
      <c r="Y50" s="178" t="str">
        <f t="shared" si="0"/>
        <v/>
      </c>
      <c r="Z50" s="178" t="str">
        <f t="shared" si="1"/>
        <v/>
      </c>
      <c r="AA50" s="44"/>
      <c r="AB50" s="65"/>
    </row>
    <row r="51" spans="1:28" ht="25" hidden="1">
      <c r="A51" s="751">
        <v>568</v>
      </c>
      <c r="B51" s="752" t="s">
        <v>35</v>
      </c>
      <c r="C51" s="751" t="s">
        <v>2960</v>
      </c>
      <c r="D51" s="752" t="s">
        <v>88</v>
      </c>
      <c r="E51" s="752" t="s">
        <v>89</v>
      </c>
      <c r="F51" s="751">
        <v>15452</v>
      </c>
      <c r="G51" s="752" t="s">
        <v>43</v>
      </c>
      <c r="H51" s="752" t="s">
        <v>1245</v>
      </c>
      <c r="I51" s="752" t="s">
        <v>60</v>
      </c>
      <c r="J51" s="751">
        <v>22</v>
      </c>
      <c r="K51" s="751">
        <v>2</v>
      </c>
      <c r="L51" s="752" t="s">
        <v>54</v>
      </c>
      <c r="M51" s="752" t="s">
        <v>44</v>
      </c>
      <c r="N51" s="752" t="s">
        <v>50</v>
      </c>
      <c r="O51" s="752" t="s">
        <v>46</v>
      </c>
      <c r="P51" s="752" t="s">
        <v>47</v>
      </c>
      <c r="Q51" s="753">
        <v>47528</v>
      </c>
      <c r="R51" s="753">
        <v>47528</v>
      </c>
      <c r="S51" s="753">
        <v>866911</v>
      </c>
      <c r="T51" s="753">
        <v>866911</v>
      </c>
      <c r="U51" s="753">
        <v>53051.733999999997</v>
      </c>
      <c r="V51" s="751">
        <v>2019</v>
      </c>
      <c r="W51" s="222" t="s">
        <v>2666</v>
      </c>
      <c r="X51" s="186">
        <f>IF(OR(K51&gt;3,T51=0,NOT(U51&gt;0)),"",T51/U51)</f>
        <v>16.340860790714213</v>
      </c>
      <c r="Y51" s="178" t="str">
        <f t="shared" si="0"/>
        <v/>
      </c>
      <c r="Z51" s="178" t="str">
        <f t="shared" si="1"/>
        <v/>
      </c>
      <c r="AA51" s="44"/>
      <c r="AB51" s="65"/>
    </row>
    <row r="52" spans="1:28" hidden="1">
      <c r="A52" s="751">
        <v>579</v>
      </c>
      <c r="B52" s="752" t="s">
        <v>35</v>
      </c>
      <c r="C52" s="751" t="s">
        <v>2960</v>
      </c>
      <c r="D52" s="752" t="s">
        <v>1092</v>
      </c>
      <c r="E52" s="752" t="s">
        <v>597</v>
      </c>
      <c r="F52" s="751">
        <v>3249</v>
      </c>
      <c r="G52" s="752" t="s">
        <v>59</v>
      </c>
      <c r="H52" s="752" t="s">
        <v>1244</v>
      </c>
      <c r="I52" s="752" t="s">
        <v>60</v>
      </c>
      <c r="J52" s="751">
        <v>22</v>
      </c>
      <c r="K52" s="751">
        <v>1</v>
      </c>
      <c r="L52" s="752" t="s">
        <v>36</v>
      </c>
      <c r="M52" s="752" t="s">
        <v>37</v>
      </c>
      <c r="N52" s="752" t="s">
        <v>38</v>
      </c>
      <c r="O52" s="752" t="s">
        <v>39</v>
      </c>
      <c r="P52" s="752" t="s">
        <v>1238</v>
      </c>
      <c r="Q52" s="753">
        <v>0</v>
      </c>
      <c r="R52" s="753">
        <v>0</v>
      </c>
      <c r="S52" s="753">
        <v>71251</v>
      </c>
      <c r="T52" s="753">
        <v>71251</v>
      </c>
      <c r="U52" s="753">
        <v>8002</v>
      </c>
      <c r="V52" s="751">
        <v>2019</v>
      </c>
      <c r="W52" s="222"/>
      <c r="X52" s="186"/>
      <c r="Y52" s="178" t="str">
        <f t="shared" si="0"/>
        <v/>
      </c>
      <c r="Z52" s="178" t="str">
        <f t="shared" si="1"/>
        <v/>
      </c>
      <c r="AA52" s="44"/>
      <c r="AB52" s="65"/>
    </row>
    <row r="53" spans="1:28" hidden="1">
      <c r="A53" s="751">
        <v>581</v>
      </c>
      <c r="B53" s="752" t="s">
        <v>35</v>
      </c>
      <c r="C53" s="751" t="s">
        <v>2960</v>
      </c>
      <c r="D53" s="752" t="s">
        <v>598</v>
      </c>
      <c r="E53" s="752" t="s">
        <v>1093</v>
      </c>
      <c r="F53" s="751">
        <v>13831</v>
      </c>
      <c r="G53" s="752" t="s">
        <v>43</v>
      </c>
      <c r="H53" s="752" t="s">
        <v>1245</v>
      </c>
      <c r="I53" s="752" t="s">
        <v>60</v>
      </c>
      <c r="J53" s="751">
        <v>22</v>
      </c>
      <c r="K53" s="751">
        <v>1</v>
      </c>
      <c r="L53" s="752" t="s">
        <v>36</v>
      </c>
      <c r="M53" s="752" t="s">
        <v>52</v>
      </c>
      <c r="N53" s="752" t="s">
        <v>48</v>
      </c>
      <c r="O53" s="752" t="s">
        <v>48</v>
      </c>
      <c r="P53" s="752" t="s">
        <v>49</v>
      </c>
      <c r="Q53" s="753">
        <v>676</v>
      </c>
      <c r="R53" s="753">
        <v>676</v>
      </c>
      <c r="S53" s="753">
        <v>3934</v>
      </c>
      <c r="T53" s="753">
        <v>3934</v>
      </c>
      <c r="U53" s="753">
        <v>251</v>
      </c>
      <c r="V53" s="751">
        <v>2019</v>
      </c>
      <c r="W53" s="222"/>
      <c r="X53" s="186">
        <f>IF(OR(K53&gt;3,T53=0,NOT(U53&gt;0)),"",T53/U53)</f>
        <v>15.673306772908367</v>
      </c>
      <c r="Y53" s="178" t="str">
        <f t="shared" si="0"/>
        <v/>
      </c>
      <c r="Z53" s="178" t="str">
        <f t="shared" si="1"/>
        <v/>
      </c>
      <c r="AA53" s="44"/>
      <c r="AB53" s="65"/>
    </row>
    <row r="54" spans="1:28" hidden="1">
      <c r="A54" s="751">
        <v>583</v>
      </c>
      <c r="B54" s="752" t="s">
        <v>35</v>
      </c>
      <c r="C54" s="751" t="s">
        <v>2960</v>
      </c>
      <c r="D54" s="752" t="s">
        <v>599</v>
      </c>
      <c r="E54" s="752" t="s">
        <v>1093</v>
      </c>
      <c r="F54" s="751">
        <v>13831</v>
      </c>
      <c r="G54" s="752" t="s">
        <v>43</v>
      </c>
      <c r="H54" s="752" t="s">
        <v>1245</v>
      </c>
      <c r="I54" s="752" t="s">
        <v>60</v>
      </c>
      <c r="J54" s="751">
        <v>22</v>
      </c>
      <c r="K54" s="751">
        <v>1</v>
      </c>
      <c r="L54" s="752" t="s">
        <v>36</v>
      </c>
      <c r="M54" s="752" t="s">
        <v>37</v>
      </c>
      <c r="N54" s="752" t="s">
        <v>38</v>
      </c>
      <c r="O54" s="752" t="s">
        <v>39</v>
      </c>
      <c r="P54" s="752" t="s">
        <v>1238</v>
      </c>
      <c r="Q54" s="753">
        <v>0</v>
      </c>
      <c r="R54" s="753">
        <v>0</v>
      </c>
      <c r="S54" s="753">
        <v>35416</v>
      </c>
      <c r="T54" s="753">
        <v>35416</v>
      </c>
      <c r="U54" s="753">
        <v>3977.82</v>
      </c>
      <c r="V54" s="751">
        <v>2019</v>
      </c>
      <c r="W54" s="222"/>
      <c r="X54" s="186"/>
      <c r="Y54" s="178" t="str">
        <f t="shared" si="0"/>
        <v/>
      </c>
      <c r="Z54" s="178" t="str">
        <f t="shared" si="1"/>
        <v/>
      </c>
      <c r="AA54" s="44"/>
      <c r="AB54" s="65"/>
    </row>
    <row r="55" spans="1:28" hidden="1">
      <c r="A55" s="751">
        <v>589</v>
      </c>
      <c r="B55" s="752" t="s">
        <v>35</v>
      </c>
      <c r="C55" s="751" t="s">
        <v>2960</v>
      </c>
      <c r="D55" s="752" t="s">
        <v>90</v>
      </c>
      <c r="E55" s="752" t="s">
        <v>1156</v>
      </c>
      <c r="F55" s="751">
        <v>2548</v>
      </c>
      <c r="G55" s="752" t="s">
        <v>91</v>
      </c>
      <c r="H55" s="752" t="s">
        <v>1245</v>
      </c>
      <c r="I55" s="752" t="s">
        <v>60</v>
      </c>
      <c r="J55" s="751">
        <v>22</v>
      </c>
      <c r="K55" s="751">
        <v>1</v>
      </c>
      <c r="L55" s="752" t="s">
        <v>36</v>
      </c>
      <c r="M55" s="752" t="s">
        <v>44</v>
      </c>
      <c r="N55" s="752" t="s">
        <v>48</v>
      </c>
      <c r="O55" s="752" t="s">
        <v>48</v>
      </c>
      <c r="P55" s="752" t="s">
        <v>49</v>
      </c>
      <c r="Q55" s="753">
        <v>0</v>
      </c>
      <c r="R55" s="753">
        <v>0</v>
      </c>
      <c r="S55" s="753">
        <v>0</v>
      </c>
      <c r="T55" s="753">
        <v>0</v>
      </c>
      <c r="U55" s="753">
        <v>0</v>
      </c>
      <c r="V55" s="751">
        <v>2019</v>
      </c>
      <c r="W55" s="222"/>
      <c r="X55" s="186" t="str">
        <f>IF(OR(K55&gt;3,T55=0,NOT(U55&gt;0)),"",T55/U55)</f>
        <v/>
      </c>
      <c r="Y55" s="178" t="str">
        <f t="shared" si="0"/>
        <v/>
      </c>
      <c r="Z55" s="178" t="str">
        <f t="shared" si="1"/>
        <v/>
      </c>
      <c r="AA55" s="44"/>
      <c r="AB55" s="65"/>
    </row>
    <row r="56" spans="1:28" hidden="1">
      <c r="A56" s="751">
        <v>589</v>
      </c>
      <c r="B56" s="752" t="s">
        <v>35</v>
      </c>
      <c r="C56" s="751" t="s">
        <v>2960</v>
      </c>
      <c r="D56" s="752" t="s">
        <v>90</v>
      </c>
      <c r="E56" s="752" t="s">
        <v>1156</v>
      </c>
      <c r="F56" s="751">
        <v>2548</v>
      </c>
      <c r="G56" s="752" t="s">
        <v>91</v>
      </c>
      <c r="H56" s="752" t="s">
        <v>1245</v>
      </c>
      <c r="I56" s="752" t="s">
        <v>60</v>
      </c>
      <c r="J56" s="751">
        <v>22</v>
      </c>
      <c r="K56" s="751">
        <v>1</v>
      </c>
      <c r="L56" s="752" t="s">
        <v>36</v>
      </c>
      <c r="M56" s="752" t="s">
        <v>44</v>
      </c>
      <c r="N56" s="752" t="s">
        <v>41</v>
      </c>
      <c r="O56" s="752" t="s">
        <v>41</v>
      </c>
      <c r="P56" s="752" t="s">
        <v>1091</v>
      </c>
      <c r="Q56" s="753">
        <v>12401</v>
      </c>
      <c r="R56" s="753">
        <v>12401</v>
      </c>
      <c r="S56" s="753">
        <v>12840</v>
      </c>
      <c r="T56" s="753">
        <v>12840</v>
      </c>
      <c r="U56" s="753">
        <v>789.47199999999998</v>
      </c>
      <c r="V56" s="751">
        <v>2019</v>
      </c>
      <c r="W56" s="222"/>
      <c r="X56" s="186"/>
      <c r="Y56" s="178" t="str">
        <f t="shared" si="0"/>
        <v/>
      </c>
      <c r="Z56" s="178" t="str">
        <f t="shared" si="1"/>
        <v/>
      </c>
      <c r="AA56" s="44"/>
      <c r="AB56" s="65"/>
    </row>
    <row r="57" spans="1:28" ht="25" hidden="1">
      <c r="A57" s="751">
        <v>589</v>
      </c>
      <c r="B57" s="752" t="s">
        <v>35</v>
      </c>
      <c r="C57" s="751" t="s">
        <v>2960</v>
      </c>
      <c r="D57" s="752" t="s">
        <v>90</v>
      </c>
      <c r="E57" s="752" t="s">
        <v>1156</v>
      </c>
      <c r="F57" s="751">
        <v>2548</v>
      </c>
      <c r="G57" s="752" t="s">
        <v>91</v>
      </c>
      <c r="H57" s="752" t="s">
        <v>1245</v>
      </c>
      <c r="I57" s="752" t="s">
        <v>60</v>
      </c>
      <c r="J57" s="751">
        <v>22</v>
      </c>
      <c r="K57" s="751">
        <v>1</v>
      </c>
      <c r="L57" s="752" t="s">
        <v>36</v>
      </c>
      <c r="M57" s="752" t="s">
        <v>44</v>
      </c>
      <c r="N57" s="752" t="s">
        <v>71</v>
      </c>
      <c r="O57" s="752" t="s">
        <v>72</v>
      </c>
      <c r="P57" s="752" t="s">
        <v>47</v>
      </c>
      <c r="Q57" s="753">
        <v>366267</v>
      </c>
      <c r="R57" s="753">
        <v>366267</v>
      </c>
      <c r="S57" s="753">
        <v>3479539</v>
      </c>
      <c r="T57" s="753">
        <v>3479539</v>
      </c>
      <c r="U57" s="753">
        <v>226457.53</v>
      </c>
      <c r="V57" s="751">
        <v>2019</v>
      </c>
      <c r="W57" s="222"/>
      <c r="X57" s="186"/>
      <c r="Y57" s="178" t="str">
        <f t="shared" si="0"/>
        <v/>
      </c>
      <c r="Z57" s="178" t="str">
        <f t="shared" si="1"/>
        <v/>
      </c>
      <c r="AA57" s="44"/>
      <c r="AB57" s="65"/>
    </row>
    <row r="58" spans="1:28" hidden="1">
      <c r="A58" s="751">
        <v>625</v>
      </c>
      <c r="B58" s="752" t="s">
        <v>35</v>
      </c>
      <c r="C58" s="751" t="s">
        <v>2960</v>
      </c>
      <c r="D58" s="752" t="s">
        <v>600</v>
      </c>
      <c r="E58" s="752" t="s">
        <v>601</v>
      </c>
      <c r="F58" s="751">
        <v>13511</v>
      </c>
      <c r="G58" s="752" t="s">
        <v>59</v>
      </c>
      <c r="H58" s="752" t="s">
        <v>1244</v>
      </c>
      <c r="I58" s="752" t="s">
        <v>60</v>
      </c>
      <c r="J58" s="751">
        <v>22</v>
      </c>
      <c r="K58" s="751">
        <v>1</v>
      </c>
      <c r="L58" s="752" t="s">
        <v>36</v>
      </c>
      <c r="M58" s="752" t="s">
        <v>37</v>
      </c>
      <c r="N58" s="752" t="s">
        <v>38</v>
      </c>
      <c r="O58" s="752" t="s">
        <v>39</v>
      </c>
      <c r="P58" s="752" t="s">
        <v>1238</v>
      </c>
      <c r="Q58" s="753">
        <v>0</v>
      </c>
      <c r="R58" s="753">
        <v>0</v>
      </c>
      <c r="S58" s="753">
        <v>362304</v>
      </c>
      <c r="T58" s="753">
        <v>362304</v>
      </c>
      <c r="U58" s="753">
        <v>40690</v>
      </c>
      <c r="V58" s="751">
        <v>2019</v>
      </c>
      <c r="W58" s="222"/>
      <c r="X58" s="186"/>
      <c r="Y58" s="178" t="str">
        <f t="shared" si="0"/>
        <v/>
      </c>
      <c r="Z58" s="178" t="str">
        <f t="shared" si="1"/>
        <v/>
      </c>
      <c r="AA58" s="44"/>
      <c r="AB58" s="65"/>
    </row>
    <row r="59" spans="1:28" hidden="1">
      <c r="A59" s="751">
        <v>678</v>
      </c>
      <c r="B59" s="752" t="s">
        <v>35</v>
      </c>
      <c r="C59" s="751" t="s">
        <v>2960</v>
      </c>
      <c r="D59" s="752" t="s">
        <v>602</v>
      </c>
      <c r="E59" s="752" t="s">
        <v>1636</v>
      </c>
      <c r="F59" s="751">
        <v>12989</v>
      </c>
      <c r="G59" s="752" t="s">
        <v>91</v>
      </c>
      <c r="H59" s="752" t="s">
        <v>1245</v>
      </c>
      <c r="I59" s="752" t="s">
        <v>60</v>
      </c>
      <c r="J59" s="751">
        <v>22</v>
      </c>
      <c r="K59" s="751">
        <v>1</v>
      </c>
      <c r="L59" s="752" t="s">
        <v>36</v>
      </c>
      <c r="M59" s="752" t="s">
        <v>37</v>
      </c>
      <c r="N59" s="752" t="s">
        <v>38</v>
      </c>
      <c r="O59" s="752" t="s">
        <v>39</v>
      </c>
      <c r="P59" s="752" t="s">
        <v>1238</v>
      </c>
      <c r="Q59" s="753">
        <v>0</v>
      </c>
      <c r="R59" s="753">
        <v>0</v>
      </c>
      <c r="S59" s="753">
        <v>9314</v>
      </c>
      <c r="T59" s="753">
        <v>9314</v>
      </c>
      <c r="U59" s="753">
        <v>1046</v>
      </c>
      <c r="V59" s="751">
        <v>2019</v>
      </c>
      <c r="W59" s="222"/>
      <c r="X59" s="186"/>
      <c r="Y59" s="178" t="str">
        <f t="shared" si="0"/>
        <v/>
      </c>
      <c r="Z59" s="178" t="str">
        <f t="shared" si="1"/>
        <v/>
      </c>
      <c r="AA59" s="44"/>
      <c r="AB59" s="65"/>
    </row>
    <row r="60" spans="1:28" hidden="1">
      <c r="A60" s="751">
        <v>788</v>
      </c>
      <c r="B60" s="752" t="s">
        <v>35</v>
      </c>
      <c r="C60" s="751" t="s">
        <v>2960</v>
      </c>
      <c r="D60" s="752" t="s">
        <v>603</v>
      </c>
      <c r="E60" s="752" t="s">
        <v>137</v>
      </c>
      <c r="F60" s="751">
        <v>7601</v>
      </c>
      <c r="G60" s="752" t="s">
        <v>91</v>
      </c>
      <c r="H60" s="752" t="s">
        <v>1245</v>
      </c>
      <c r="I60" s="752" t="s">
        <v>60</v>
      </c>
      <c r="J60" s="751">
        <v>22</v>
      </c>
      <c r="K60" s="751">
        <v>1</v>
      </c>
      <c r="L60" s="752" t="s">
        <v>36</v>
      </c>
      <c r="M60" s="752" t="s">
        <v>37</v>
      </c>
      <c r="N60" s="752" t="s">
        <v>38</v>
      </c>
      <c r="O60" s="752" t="s">
        <v>39</v>
      </c>
      <c r="P60" s="752" t="s">
        <v>1238</v>
      </c>
      <c r="Q60" s="753">
        <v>0</v>
      </c>
      <c r="R60" s="753">
        <v>0</v>
      </c>
      <c r="S60" s="753">
        <v>61437</v>
      </c>
      <c r="T60" s="753">
        <v>61437</v>
      </c>
      <c r="U60" s="753">
        <v>6900</v>
      </c>
      <c r="V60" s="751">
        <v>2019</v>
      </c>
      <c r="W60" s="222"/>
      <c r="X60" s="186"/>
      <c r="Y60" s="178" t="str">
        <f t="shared" si="0"/>
        <v/>
      </c>
      <c r="Z60" s="178" t="str">
        <f t="shared" si="1"/>
        <v/>
      </c>
      <c r="AA60" s="44"/>
      <c r="AB60" s="65"/>
    </row>
    <row r="61" spans="1:28" hidden="1">
      <c r="A61" s="751">
        <v>805</v>
      </c>
      <c r="B61" s="752" t="s">
        <v>35</v>
      </c>
      <c r="C61" s="751" t="s">
        <v>2960</v>
      </c>
      <c r="D61" s="752" t="s">
        <v>604</v>
      </c>
      <c r="E61" s="752" t="s">
        <v>1247</v>
      </c>
      <c r="F61" s="751">
        <v>39006</v>
      </c>
      <c r="G61" s="752" t="s">
        <v>92</v>
      </c>
      <c r="H61" s="752" t="s">
        <v>1245</v>
      </c>
      <c r="I61" s="752" t="s">
        <v>60</v>
      </c>
      <c r="J61" s="751">
        <v>22</v>
      </c>
      <c r="K61" s="751">
        <v>2</v>
      </c>
      <c r="L61" s="752" t="s">
        <v>54</v>
      </c>
      <c r="M61" s="752" t="s">
        <v>37</v>
      </c>
      <c r="N61" s="752" t="s">
        <v>38</v>
      </c>
      <c r="O61" s="752" t="s">
        <v>39</v>
      </c>
      <c r="P61" s="752" t="s">
        <v>1238</v>
      </c>
      <c r="Q61" s="753">
        <v>0</v>
      </c>
      <c r="R61" s="753">
        <v>0</v>
      </c>
      <c r="S61" s="753">
        <v>1373470</v>
      </c>
      <c r="T61" s="753">
        <v>1373470</v>
      </c>
      <c r="U61" s="753">
        <v>154253</v>
      </c>
      <c r="V61" s="751">
        <v>2019</v>
      </c>
      <c r="W61" s="222"/>
      <c r="X61" s="186"/>
      <c r="Y61" s="178" t="str">
        <f t="shared" si="0"/>
        <v/>
      </c>
      <c r="Z61" s="178" t="str">
        <f t="shared" si="1"/>
        <v/>
      </c>
      <c r="AA61" s="44"/>
      <c r="AB61" s="65"/>
    </row>
    <row r="62" spans="1:28" hidden="1">
      <c r="A62" s="751">
        <v>808</v>
      </c>
      <c r="B62" s="752" t="s">
        <v>35</v>
      </c>
      <c r="C62" s="751" t="s">
        <v>2960</v>
      </c>
      <c r="D62" s="752" t="s">
        <v>605</v>
      </c>
      <c r="E62" s="752" t="s">
        <v>58</v>
      </c>
      <c r="F62" s="751">
        <v>15296</v>
      </c>
      <c r="G62" s="752" t="s">
        <v>59</v>
      </c>
      <c r="H62" s="752" t="s">
        <v>1244</v>
      </c>
      <c r="I62" s="752" t="s">
        <v>60</v>
      </c>
      <c r="J62" s="751">
        <v>22</v>
      </c>
      <c r="K62" s="751">
        <v>1</v>
      </c>
      <c r="L62" s="752" t="s">
        <v>36</v>
      </c>
      <c r="M62" s="752" t="s">
        <v>37</v>
      </c>
      <c r="N62" s="752" t="s">
        <v>38</v>
      </c>
      <c r="O62" s="752" t="s">
        <v>39</v>
      </c>
      <c r="P62" s="752" t="s">
        <v>1238</v>
      </c>
      <c r="Q62" s="753">
        <v>0</v>
      </c>
      <c r="R62" s="753">
        <v>0</v>
      </c>
      <c r="S62" s="753">
        <v>361965</v>
      </c>
      <c r="T62" s="753">
        <v>361965</v>
      </c>
      <c r="U62" s="753">
        <v>40652</v>
      </c>
      <c r="V62" s="751">
        <v>2019</v>
      </c>
      <c r="W62" s="222"/>
      <c r="X62" s="186"/>
      <c r="Y62" s="178" t="str">
        <f t="shared" si="0"/>
        <v/>
      </c>
      <c r="Z62" s="178" t="str">
        <f t="shared" si="1"/>
        <v/>
      </c>
      <c r="AA62" s="44"/>
      <c r="AB62" s="65"/>
    </row>
    <row r="63" spans="1:28" hidden="1">
      <c r="A63" s="751">
        <v>1468</v>
      </c>
      <c r="B63" s="752" t="s">
        <v>35</v>
      </c>
      <c r="C63" s="751" t="s">
        <v>2960</v>
      </c>
      <c r="D63" s="752" t="s">
        <v>606</v>
      </c>
      <c r="E63" s="752" t="s">
        <v>2962</v>
      </c>
      <c r="F63" s="751">
        <v>1179</v>
      </c>
      <c r="G63" s="752" t="s">
        <v>92</v>
      </c>
      <c r="H63" s="752" t="s">
        <v>1245</v>
      </c>
      <c r="I63" s="752" t="s">
        <v>60</v>
      </c>
      <c r="J63" s="751">
        <v>22</v>
      </c>
      <c r="K63" s="751">
        <v>1</v>
      </c>
      <c r="L63" s="752" t="s">
        <v>36</v>
      </c>
      <c r="M63" s="752" t="s">
        <v>53</v>
      </c>
      <c r="N63" s="752" t="s">
        <v>48</v>
      </c>
      <c r="O63" s="752" t="s">
        <v>48</v>
      </c>
      <c r="P63" s="752" t="s">
        <v>49</v>
      </c>
      <c r="Q63" s="753">
        <v>0</v>
      </c>
      <c r="R63" s="753">
        <v>0</v>
      </c>
      <c r="S63" s="753">
        <v>0</v>
      </c>
      <c r="T63" s="753">
        <v>0</v>
      </c>
      <c r="U63" s="753">
        <v>0</v>
      </c>
      <c r="V63" s="751">
        <v>2019</v>
      </c>
      <c r="W63" s="222"/>
      <c r="X63" s="186"/>
      <c r="Y63" s="178" t="str">
        <f t="shared" si="0"/>
        <v/>
      </c>
      <c r="Z63" s="178" t="str">
        <f t="shared" si="1"/>
        <v/>
      </c>
      <c r="AA63" s="44"/>
      <c r="AB63" s="65"/>
    </row>
    <row r="64" spans="1:28" hidden="1">
      <c r="A64" s="751">
        <v>1469</v>
      </c>
      <c r="B64" s="752" t="s">
        <v>35</v>
      </c>
      <c r="C64" s="751" t="s">
        <v>2960</v>
      </c>
      <c r="D64" s="752" t="s">
        <v>1248</v>
      </c>
      <c r="E64" s="752" t="s">
        <v>1637</v>
      </c>
      <c r="F64" s="751">
        <v>59178</v>
      </c>
      <c r="G64" s="752" t="s">
        <v>92</v>
      </c>
      <c r="H64" s="752" t="s">
        <v>1245</v>
      </c>
      <c r="I64" s="752" t="s">
        <v>60</v>
      </c>
      <c r="J64" s="751">
        <v>22</v>
      </c>
      <c r="K64" s="751">
        <v>2</v>
      </c>
      <c r="L64" s="752" t="s">
        <v>54</v>
      </c>
      <c r="M64" s="752" t="s">
        <v>37</v>
      </c>
      <c r="N64" s="752" t="s">
        <v>38</v>
      </c>
      <c r="O64" s="752" t="s">
        <v>39</v>
      </c>
      <c r="P64" s="752" t="s">
        <v>1238</v>
      </c>
      <c r="Q64" s="753">
        <v>0</v>
      </c>
      <c r="R64" s="753">
        <v>0</v>
      </c>
      <c r="S64" s="753">
        <v>329013</v>
      </c>
      <c r="T64" s="753">
        <v>329013</v>
      </c>
      <c r="U64" s="753">
        <v>36951</v>
      </c>
      <c r="V64" s="751">
        <v>2019</v>
      </c>
      <c r="W64" s="222"/>
      <c r="X64" s="186"/>
      <c r="Y64" s="178" t="str">
        <f t="shared" si="0"/>
        <v/>
      </c>
      <c r="Z64" s="178" t="str">
        <f t="shared" si="1"/>
        <v/>
      </c>
      <c r="AA64" s="44"/>
      <c r="AB64" s="65"/>
    </row>
    <row r="65" spans="1:28" hidden="1">
      <c r="A65" s="751">
        <v>1475</v>
      </c>
      <c r="B65" s="752" t="s">
        <v>35</v>
      </c>
      <c r="C65" s="751" t="s">
        <v>2960</v>
      </c>
      <c r="D65" s="752" t="s">
        <v>1249</v>
      </c>
      <c r="E65" s="752" t="s">
        <v>1637</v>
      </c>
      <c r="F65" s="751">
        <v>59178</v>
      </c>
      <c r="G65" s="752" t="s">
        <v>92</v>
      </c>
      <c r="H65" s="752" t="s">
        <v>1245</v>
      </c>
      <c r="I65" s="752" t="s">
        <v>60</v>
      </c>
      <c r="J65" s="751">
        <v>22</v>
      </c>
      <c r="K65" s="751">
        <v>2</v>
      </c>
      <c r="L65" s="752" t="s">
        <v>54</v>
      </c>
      <c r="M65" s="752" t="s">
        <v>37</v>
      </c>
      <c r="N65" s="752" t="s">
        <v>38</v>
      </c>
      <c r="O65" s="752" t="s">
        <v>39</v>
      </c>
      <c r="P65" s="752" t="s">
        <v>1238</v>
      </c>
      <c r="Q65" s="753">
        <v>0</v>
      </c>
      <c r="R65" s="753">
        <v>0</v>
      </c>
      <c r="S65" s="753">
        <v>398143</v>
      </c>
      <c r="T65" s="753">
        <v>398143</v>
      </c>
      <c r="U65" s="753">
        <v>44715</v>
      </c>
      <c r="V65" s="751">
        <v>2019</v>
      </c>
      <c r="W65" s="222"/>
      <c r="X65" s="186"/>
      <c r="Y65" s="178" t="str">
        <f t="shared" si="0"/>
        <v/>
      </c>
      <c r="Z65" s="178" t="str">
        <f t="shared" si="1"/>
        <v/>
      </c>
      <c r="AA65" s="44"/>
      <c r="AB65" s="65"/>
    </row>
    <row r="66" spans="1:28" hidden="1">
      <c r="A66" s="751">
        <v>1478</v>
      </c>
      <c r="B66" s="752" t="s">
        <v>35</v>
      </c>
      <c r="C66" s="751" t="s">
        <v>2960</v>
      </c>
      <c r="D66" s="752" t="s">
        <v>1250</v>
      </c>
      <c r="E66" s="752" t="s">
        <v>1637</v>
      </c>
      <c r="F66" s="751">
        <v>59178</v>
      </c>
      <c r="G66" s="752" t="s">
        <v>92</v>
      </c>
      <c r="H66" s="752" t="s">
        <v>1245</v>
      </c>
      <c r="I66" s="752" t="s">
        <v>60</v>
      </c>
      <c r="J66" s="751">
        <v>22</v>
      </c>
      <c r="K66" s="751">
        <v>2</v>
      </c>
      <c r="L66" s="752" t="s">
        <v>54</v>
      </c>
      <c r="M66" s="752" t="s">
        <v>37</v>
      </c>
      <c r="N66" s="752" t="s">
        <v>38</v>
      </c>
      <c r="O66" s="752" t="s">
        <v>39</v>
      </c>
      <c r="P66" s="752" t="s">
        <v>1238</v>
      </c>
      <c r="Q66" s="753">
        <v>0</v>
      </c>
      <c r="R66" s="753">
        <v>0</v>
      </c>
      <c r="S66" s="753">
        <v>97232</v>
      </c>
      <c r="T66" s="753">
        <v>97232</v>
      </c>
      <c r="U66" s="753">
        <v>10920</v>
      </c>
      <c r="V66" s="751">
        <v>2019</v>
      </c>
      <c r="W66" s="222"/>
      <c r="X66" s="186"/>
      <c r="Y66" s="178" t="str">
        <f t="shared" si="0"/>
        <v/>
      </c>
      <c r="Z66" s="178" t="str">
        <f t="shared" si="1"/>
        <v/>
      </c>
      <c r="AA66" s="44"/>
      <c r="AB66" s="65"/>
    </row>
    <row r="67" spans="1:28" hidden="1">
      <c r="A67" s="751">
        <v>1480</v>
      </c>
      <c r="B67" s="752" t="s">
        <v>35</v>
      </c>
      <c r="C67" s="751" t="s">
        <v>2960</v>
      </c>
      <c r="D67" s="752" t="s">
        <v>607</v>
      </c>
      <c r="E67" s="752" t="s">
        <v>1247</v>
      </c>
      <c r="F67" s="751">
        <v>39006</v>
      </c>
      <c r="G67" s="752" t="s">
        <v>92</v>
      </c>
      <c r="H67" s="752" t="s">
        <v>1245</v>
      </c>
      <c r="I67" s="752" t="s">
        <v>60</v>
      </c>
      <c r="J67" s="751">
        <v>22</v>
      </c>
      <c r="K67" s="751">
        <v>2</v>
      </c>
      <c r="L67" s="752" t="s">
        <v>54</v>
      </c>
      <c r="M67" s="752" t="s">
        <v>37</v>
      </c>
      <c r="N67" s="752" t="s">
        <v>38</v>
      </c>
      <c r="O67" s="752" t="s">
        <v>39</v>
      </c>
      <c r="P67" s="752" t="s">
        <v>1238</v>
      </c>
      <c r="Q67" s="753">
        <v>0</v>
      </c>
      <c r="R67" s="753">
        <v>0</v>
      </c>
      <c r="S67" s="753">
        <v>0</v>
      </c>
      <c r="T67" s="753">
        <v>0</v>
      </c>
      <c r="U67" s="753">
        <v>0</v>
      </c>
      <c r="V67" s="751">
        <v>2019</v>
      </c>
      <c r="W67" s="222"/>
      <c r="X67" s="186"/>
      <c r="Y67" s="178" t="str">
        <f t="shared" si="0"/>
        <v/>
      </c>
      <c r="Z67" s="178" t="str">
        <f t="shared" si="1"/>
        <v/>
      </c>
      <c r="AA67" s="44"/>
      <c r="AB67" s="65"/>
    </row>
    <row r="68" spans="1:28" hidden="1">
      <c r="A68" s="751">
        <v>1481</v>
      </c>
      <c r="B68" s="752" t="s">
        <v>35</v>
      </c>
      <c r="C68" s="751" t="s">
        <v>2960</v>
      </c>
      <c r="D68" s="752" t="s">
        <v>608</v>
      </c>
      <c r="E68" s="752" t="s">
        <v>1247</v>
      </c>
      <c r="F68" s="751">
        <v>39006</v>
      </c>
      <c r="G68" s="752" t="s">
        <v>92</v>
      </c>
      <c r="H68" s="752" t="s">
        <v>1245</v>
      </c>
      <c r="I68" s="752" t="s">
        <v>60</v>
      </c>
      <c r="J68" s="751">
        <v>22</v>
      </c>
      <c r="K68" s="751">
        <v>2</v>
      </c>
      <c r="L68" s="752" t="s">
        <v>54</v>
      </c>
      <c r="M68" s="752" t="s">
        <v>37</v>
      </c>
      <c r="N68" s="752" t="s">
        <v>38</v>
      </c>
      <c r="O68" s="752" t="s">
        <v>39</v>
      </c>
      <c r="P68" s="752" t="s">
        <v>1238</v>
      </c>
      <c r="Q68" s="753">
        <v>0</v>
      </c>
      <c r="R68" s="753">
        <v>0</v>
      </c>
      <c r="S68" s="753">
        <v>0</v>
      </c>
      <c r="T68" s="753">
        <v>0</v>
      </c>
      <c r="U68" s="753">
        <v>0</v>
      </c>
      <c r="V68" s="751">
        <v>2019</v>
      </c>
      <c r="W68" s="222"/>
      <c r="X68" s="186"/>
      <c r="Y68" s="178" t="str">
        <f t="shared" si="0"/>
        <v/>
      </c>
      <c r="Z68" s="178" t="str">
        <f t="shared" si="1"/>
        <v/>
      </c>
      <c r="AA68" s="44"/>
      <c r="AB68" s="65"/>
    </row>
    <row r="69" spans="1:28" hidden="1">
      <c r="A69" s="751">
        <v>1482</v>
      </c>
      <c r="B69" s="752" t="s">
        <v>35</v>
      </c>
      <c r="C69" s="751" t="s">
        <v>2960</v>
      </c>
      <c r="D69" s="752" t="s">
        <v>609</v>
      </c>
      <c r="E69" s="752" t="s">
        <v>1247</v>
      </c>
      <c r="F69" s="751">
        <v>39006</v>
      </c>
      <c r="G69" s="752" t="s">
        <v>92</v>
      </c>
      <c r="H69" s="752" t="s">
        <v>1245</v>
      </c>
      <c r="I69" s="752" t="s">
        <v>60</v>
      </c>
      <c r="J69" s="751">
        <v>22</v>
      </c>
      <c r="K69" s="751">
        <v>2</v>
      </c>
      <c r="L69" s="752" t="s">
        <v>54</v>
      </c>
      <c r="M69" s="752" t="s">
        <v>37</v>
      </c>
      <c r="N69" s="752" t="s">
        <v>38</v>
      </c>
      <c r="O69" s="752" t="s">
        <v>39</v>
      </c>
      <c r="P69" s="752" t="s">
        <v>1238</v>
      </c>
      <c r="Q69" s="753">
        <v>0</v>
      </c>
      <c r="R69" s="753">
        <v>0</v>
      </c>
      <c r="S69" s="753">
        <v>348859</v>
      </c>
      <c r="T69" s="753">
        <v>348859</v>
      </c>
      <c r="U69" s="753">
        <v>39180</v>
      </c>
      <c r="V69" s="751">
        <v>2019</v>
      </c>
      <c r="W69" s="222"/>
      <c r="X69" s="186"/>
      <c r="Y69" s="178" t="str">
        <f t="shared" si="0"/>
        <v/>
      </c>
      <c r="Z69" s="178" t="str">
        <f t="shared" si="1"/>
        <v/>
      </c>
      <c r="AA69" s="44"/>
      <c r="AB69" s="65"/>
    </row>
    <row r="70" spans="1:28" hidden="1">
      <c r="A70" s="751">
        <v>1483</v>
      </c>
      <c r="B70" s="752" t="s">
        <v>35</v>
      </c>
      <c r="C70" s="751" t="s">
        <v>2960</v>
      </c>
      <c r="D70" s="752" t="s">
        <v>1638</v>
      </c>
      <c r="E70" s="752" t="s">
        <v>1247</v>
      </c>
      <c r="F70" s="751">
        <v>39006</v>
      </c>
      <c r="G70" s="752" t="s">
        <v>92</v>
      </c>
      <c r="H70" s="752" t="s">
        <v>1245</v>
      </c>
      <c r="I70" s="752" t="s">
        <v>60</v>
      </c>
      <c r="J70" s="751">
        <v>22</v>
      </c>
      <c r="K70" s="751">
        <v>2</v>
      </c>
      <c r="L70" s="752" t="s">
        <v>54</v>
      </c>
      <c r="M70" s="752" t="s">
        <v>37</v>
      </c>
      <c r="N70" s="752" t="s">
        <v>38</v>
      </c>
      <c r="O70" s="752" t="s">
        <v>39</v>
      </c>
      <c r="P70" s="752" t="s">
        <v>1238</v>
      </c>
      <c r="Q70" s="753">
        <v>0</v>
      </c>
      <c r="R70" s="753">
        <v>0</v>
      </c>
      <c r="S70" s="753">
        <v>882616</v>
      </c>
      <c r="T70" s="753">
        <v>882616</v>
      </c>
      <c r="U70" s="753">
        <v>99126</v>
      </c>
      <c r="V70" s="751">
        <v>2019</v>
      </c>
      <c r="W70" s="222"/>
      <c r="X70" s="186"/>
      <c r="Y70" s="178" t="str">
        <f t="shared" si="0"/>
        <v/>
      </c>
      <c r="Z70" s="178" t="str">
        <f t="shared" si="1"/>
        <v/>
      </c>
      <c r="AA70" s="44"/>
      <c r="AB70" s="65"/>
    </row>
    <row r="71" spans="1:28" hidden="1">
      <c r="A71" s="751">
        <v>1484</v>
      </c>
      <c r="B71" s="752" t="s">
        <v>35</v>
      </c>
      <c r="C71" s="751" t="s">
        <v>2960</v>
      </c>
      <c r="D71" s="752" t="s">
        <v>610</v>
      </c>
      <c r="E71" s="752" t="s">
        <v>611</v>
      </c>
      <c r="F71" s="751">
        <v>14876</v>
      </c>
      <c r="G71" s="752" t="s">
        <v>92</v>
      </c>
      <c r="H71" s="752" t="s">
        <v>1245</v>
      </c>
      <c r="I71" s="752" t="s">
        <v>60</v>
      </c>
      <c r="J71" s="751">
        <v>22</v>
      </c>
      <c r="K71" s="751">
        <v>2</v>
      </c>
      <c r="L71" s="752" t="s">
        <v>54</v>
      </c>
      <c r="M71" s="752" t="s">
        <v>52</v>
      </c>
      <c r="N71" s="752" t="s">
        <v>48</v>
      </c>
      <c r="O71" s="752" t="s">
        <v>48</v>
      </c>
      <c r="P71" s="752" t="s">
        <v>49</v>
      </c>
      <c r="Q71" s="753">
        <v>6157</v>
      </c>
      <c r="R71" s="753">
        <v>6157</v>
      </c>
      <c r="S71" s="753">
        <v>35465</v>
      </c>
      <c r="T71" s="753">
        <v>35465</v>
      </c>
      <c r="U71" s="753">
        <v>1456</v>
      </c>
      <c r="V71" s="751">
        <v>2019</v>
      </c>
      <c r="W71" s="222"/>
      <c r="X71" s="186"/>
      <c r="Y71" s="178" t="str">
        <f t="shared" ref="Y71:Y134" si="4">IF(AND($M71=$Y$2,$N71=$Y$3,NOT($Q71=$R71),NOT($U71=0)),IF($K71=5,$S71/($U71+(8/5)*$U71),IF($K71=7,$S71/($U71+(29/25)*$U71),"")),"")</f>
        <v/>
      </c>
      <c r="Z71" s="178" t="str">
        <f t="shared" ref="Z71:Z134" si="5">IF(AND($M71=$Y$2,$N71=$Y$4,NOT($Q71=$R71),NOT($U71=0)),IF($K71=5,$S71/($U71+(8/5)*$U71),IF($K71=7,$S71/($U71+(29/25)*$U71),"")),"")</f>
        <v/>
      </c>
      <c r="AA71" s="44"/>
      <c r="AB71" s="65"/>
    </row>
    <row r="72" spans="1:28" hidden="1">
      <c r="A72" s="751">
        <v>1484</v>
      </c>
      <c r="B72" s="752" t="s">
        <v>35</v>
      </c>
      <c r="C72" s="751" t="s">
        <v>2960</v>
      </c>
      <c r="D72" s="752" t="s">
        <v>610</v>
      </c>
      <c r="E72" s="752" t="s">
        <v>611</v>
      </c>
      <c r="F72" s="751">
        <v>14876</v>
      </c>
      <c r="G72" s="752" t="s">
        <v>92</v>
      </c>
      <c r="H72" s="752" t="s">
        <v>1245</v>
      </c>
      <c r="I72" s="752" t="s">
        <v>60</v>
      </c>
      <c r="J72" s="751">
        <v>22</v>
      </c>
      <c r="K72" s="751">
        <v>2</v>
      </c>
      <c r="L72" s="752" t="s">
        <v>54</v>
      </c>
      <c r="M72" s="752" t="s">
        <v>52</v>
      </c>
      <c r="N72" s="752" t="s">
        <v>68</v>
      </c>
      <c r="O72" s="752" t="s">
        <v>69</v>
      </c>
      <c r="P72" s="752" t="s">
        <v>49</v>
      </c>
      <c r="Q72" s="753">
        <v>0</v>
      </c>
      <c r="R72" s="753">
        <v>0</v>
      </c>
      <c r="S72" s="753">
        <v>0</v>
      </c>
      <c r="T72" s="753">
        <v>0</v>
      </c>
      <c r="U72" s="753">
        <v>0</v>
      </c>
      <c r="V72" s="751">
        <v>2019</v>
      </c>
      <c r="W72" s="222"/>
      <c r="X72" s="186"/>
      <c r="Y72" s="178" t="str">
        <f t="shared" si="4"/>
        <v/>
      </c>
      <c r="Z72" s="178" t="str">
        <f t="shared" si="5"/>
        <v/>
      </c>
      <c r="AA72" s="44"/>
      <c r="AB72" s="65"/>
    </row>
    <row r="73" spans="1:28" hidden="1">
      <c r="A73" s="751">
        <v>1486</v>
      </c>
      <c r="B73" s="752" t="s">
        <v>35</v>
      </c>
      <c r="C73" s="751" t="s">
        <v>2960</v>
      </c>
      <c r="D73" s="752" t="s">
        <v>1639</v>
      </c>
      <c r="E73" s="752" t="s">
        <v>1247</v>
      </c>
      <c r="F73" s="751">
        <v>39006</v>
      </c>
      <c r="G73" s="752" t="s">
        <v>92</v>
      </c>
      <c r="H73" s="752" t="s">
        <v>1245</v>
      </c>
      <c r="I73" s="752" t="s">
        <v>60</v>
      </c>
      <c r="J73" s="751">
        <v>22</v>
      </c>
      <c r="K73" s="751">
        <v>2</v>
      </c>
      <c r="L73" s="752" t="s">
        <v>54</v>
      </c>
      <c r="M73" s="752" t="s">
        <v>37</v>
      </c>
      <c r="N73" s="752" t="s">
        <v>38</v>
      </c>
      <c r="O73" s="752" t="s">
        <v>39</v>
      </c>
      <c r="P73" s="752" t="s">
        <v>1238</v>
      </c>
      <c r="Q73" s="753">
        <v>0</v>
      </c>
      <c r="R73" s="753">
        <v>0</v>
      </c>
      <c r="S73" s="753">
        <v>86440</v>
      </c>
      <c r="T73" s="753">
        <v>86440</v>
      </c>
      <c r="U73" s="753">
        <v>9708</v>
      </c>
      <c r="V73" s="751">
        <v>2019</v>
      </c>
      <c r="W73" s="222"/>
      <c r="X73" s="186"/>
      <c r="Y73" s="178" t="str">
        <f t="shared" si="4"/>
        <v/>
      </c>
      <c r="Z73" s="178" t="str">
        <f t="shared" si="5"/>
        <v/>
      </c>
      <c r="AA73" s="44"/>
      <c r="AB73" s="65"/>
    </row>
    <row r="74" spans="1:28" hidden="1">
      <c r="A74" s="751">
        <v>1488</v>
      </c>
      <c r="B74" s="752" t="s">
        <v>35</v>
      </c>
      <c r="C74" s="751" t="s">
        <v>2960</v>
      </c>
      <c r="D74" s="752" t="s">
        <v>612</v>
      </c>
      <c r="E74" s="752" t="s">
        <v>1247</v>
      </c>
      <c r="F74" s="751">
        <v>39006</v>
      </c>
      <c r="G74" s="752" t="s">
        <v>92</v>
      </c>
      <c r="H74" s="752" t="s">
        <v>1245</v>
      </c>
      <c r="I74" s="752" t="s">
        <v>60</v>
      </c>
      <c r="J74" s="751">
        <v>22</v>
      </c>
      <c r="K74" s="751">
        <v>2</v>
      </c>
      <c r="L74" s="752" t="s">
        <v>54</v>
      </c>
      <c r="M74" s="752" t="s">
        <v>37</v>
      </c>
      <c r="N74" s="752" t="s">
        <v>38</v>
      </c>
      <c r="O74" s="752" t="s">
        <v>39</v>
      </c>
      <c r="P74" s="752" t="s">
        <v>1238</v>
      </c>
      <c r="Q74" s="753">
        <v>0</v>
      </c>
      <c r="R74" s="753">
        <v>0</v>
      </c>
      <c r="S74" s="753">
        <v>348120</v>
      </c>
      <c r="T74" s="753">
        <v>348120</v>
      </c>
      <c r="U74" s="753">
        <v>39097</v>
      </c>
      <c r="V74" s="751">
        <v>2019</v>
      </c>
      <c r="W74" s="222"/>
      <c r="X74" s="186"/>
      <c r="Y74" s="178" t="str">
        <f t="shared" si="4"/>
        <v/>
      </c>
      <c r="Z74" s="178" t="str">
        <f t="shared" si="5"/>
        <v/>
      </c>
      <c r="AA74" s="44"/>
      <c r="AB74" s="65"/>
    </row>
    <row r="75" spans="1:28" hidden="1">
      <c r="A75" s="751">
        <v>1491</v>
      </c>
      <c r="B75" s="752" t="s">
        <v>35</v>
      </c>
      <c r="C75" s="751" t="s">
        <v>2960</v>
      </c>
      <c r="D75" s="752" t="s">
        <v>613</v>
      </c>
      <c r="E75" s="752" t="s">
        <v>1247</v>
      </c>
      <c r="F75" s="751">
        <v>39006</v>
      </c>
      <c r="G75" s="752" t="s">
        <v>92</v>
      </c>
      <c r="H75" s="752" t="s">
        <v>1245</v>
      </c>
      <c r="I75" s="752" t="s">
        <v>60</v>
      </c>
      <c r="J75" s="751">
        <v>22</v>
      </c>
      <c r="K75" s="751">
        <v>2</v>
      </c>
      <c r="L75" s="752" t="s">
        <v>54</v>
      </c>
      <c r="M75" s="752" t="s">
        <v>37</v>
      </c>
      <c r="N75" s="752" t="s">
        <v>38</v>
      </c>
      <c r="O75" s="752" t="s">
        <v>39</v>
      </c>
      <c r="P75" s="752" t="s">
        <v>1238</v>
      </c>
      <c r="Q75" s="753">
        <v>0</v>
      </c>
      <c r="R75" s="753">
        <v>0</v>
      </c>
      <c r="S75" s="753">
        <v>1311846</v>
      </c>
      <c r="T75" s="753">
        <v>1311846</v>
      </c>
      <c r="U75" s="753">
        <v>147332</v>
      </c>
      <c r="V75" s="751">
        <v>2019</v>
      </c>
      <c r="W75" s="222"/>
      <c r="X75" s="186"/>
      <c r="Y75" s="178" t="str">
        <f t="shared" si="4"/>
        <v/>
      </c>
      <c r="Z75" s="178" t="str">
        <f t="shared" si="5"/>
        <v/>
      </c>
      <c r="AA75" s="44"/>
      <c r="AB75" s="65"/>
    </row>
    <row r="76" spans="1:28" hidden="1">
      <c r="A76" s="751">
        <v>1492</v>
      </c>
      <c r="B76" s="752" t="s">
        <v>35</v>
      </c>
      <c r="C76" s="751" t="s">
        <v>2960</v>
      </c>
      <c r="D76" s="752" t="s">
        <v>1640</v>
      </c>
      <c r="E76" s="752" t="s">
        <v>1247</v>
      </c>
      <c r="F76" s="751">
        <v>39006</v>
      </c>
      <c r="G76" s="752" t="s">
        <v>92</v>
      </c>
      <c r="H76" s="752" t="s">
        <v>1245</v>
      </c>
      <c r="I76" s="752" t="s">
        <v>60</v>
      </c>
      <c r="J76" s="751">
        <v>22</v>
      </c>
      <c r="K76" s="751">
        <v>2</v>
      </c>
      <c r="L76" s="752" t="s">
        <v>54</v>
      </c>
      <c r="M76" s="752" t="s">
        <v>37</v>
      </c>
      <c r="N76" s="752" t="s">
        <v>38</v>
      </c>
      <c r="O76" s="752" t="s">
        <v>39</v>
      </c>
      <c r="P76" s="752" t="s">
        <v>1238</v>
      </c>
      <c r="Q76" s="753">
        <v>0</v>
      </c>
      <c r="R76" s="753">
        <v>0</v>
      </c>
      <c r="S76" s="753">
        <v>2181259</v>
      </c>
      <c r="T76" s="753">
        <v>2181259</v>
      </c>
      <c r="U76" s="753">
        <v>244975</v>
      </c>
      <c r="V76" s="751">
        <v>2019</v>
      </c>
      <c r="W76" s="222"/>
      <c r="X76" s="186"/>
      <c r="Y76" s="178" t="str">
        <f t="shared" si="4"/>
        <v/>
      </c>
      <c r="Z76" s="178" t="str">
        <f t="shared" si="5"/>
        <v/>
      </c>
      <c r="AA76" s="44"/>
      <c r="AB76" s="65"/>
    </row>
    <row r="77" spans="1:28" hidden="1">
      <c r="A77" s="751">
        <v>1493</v>
      </c>
      <c r="B77" s="752" t="s">
        <v>35</v>
      </c>
      <c r="C77" s="751" t="s">
        <v>2960</v>
      </c>
      <c r="D77" s="752" t="s">
        <v>614</v>
      </c>
      <c r="E77" s="752" t="s">
        <v>1247</v>
      </c>
      <c r="F77" s="751">
        <v>39006</v>
      </c>
      <c r="G77" s="752" t="s">
        <v>92</v>
      </c>
      <c r="H77" s="752" t="s">
        <v>1245</v>
      </c>
      <c r="I77" s="752" t="s">
        <v>60</v>
      </c>
      <c r="J77" s="751">
        <v>22</v>
      </c>
      <c r="K77" s="751">
        <v>2</v>
      </c>
      <c r="L77" s="752" t="s">
        <v>54</v>
      </c>
      <c r="M77" s="752" t="s">
        <v>37</v>
      </c>
      <c r="N77" s="752" t="s">
        <v>38</v>
      </c>
      <c r="O77" s="752" t="s">
        <v>39</v>
      </c>
      <c r="P77" s="752" t="s">
        <v>1238</v>
      </c>
      <c r="Q77" s="753">
        <v>0</v>
      </c>
      <c r="R77" s="753">
        <v>0</v>
      </c>
      <c r="S77" s="753">
        <v>409467</v>
      </c>
      <c r="T77" s="753">
        <v>409467</v>
      </c>
      <c r="U77" s="753">
        <v>45987</v>
      </c>
      <c r="V77" s="751">
        <v>2019</v>
      </c>
      <c r="W77" s="222"/>
      <c r="X77" s="186"/>
      <c r="Y77" s="178" t="str">
        <f t="shared" si="4"/>
        <v/>
      </c>
      <c r="Z77" s="178" t="str">
        <f t="shared" si="5"/>
        <v/>
      </c>
      <c r="AA77" s="44"/>
      <c r="AB77" s="65"/>
    </row>
    <row r="78" spans="1:28" hidden="1">
      <c r="A78" s="751">
        <v>1497</v>
      </c>
      <c r="B78" s="752" t="s">
        <v>35</v>
      </c>
      <c r="C78" s="751" t="s">
        <v>2960</v>
      </c>
      <c r="D78" s="752" t="s">
        <v>615</v>
      </c>
      <c r="E78" s="752" t="s">
        <v>1094</v>
      </c>
      <c r="F78" s="751">
        <v>56854</v>
      </c>
      <c r="G78" s="752" t="s">
        <v>92</v>
      </c>
      <c r="H78" s="752" t="s">
        <v>1245</v>
      </c>
      <c r="I78" s="752" t="s">
        <v>60</v>
      </c>
      <c r="J78" s="751">
        <v>22</v>
      </c>
      <c r="K78" s="751">
        <v>2</v>
      </c>
      <c r="L78" s="752" t="s">
        <v>54</v>
      </c>
      <c r="M78" s="752" t="s">
        <v>37</v>
      </c>
      <c r="N78" s="752" t="s">
        <v>38</v>
      </c>
      <c r="O78" s="752" t="s">
        <v>39</v>
      </c>
      <c r="P78" s="752" t="s">
        <v>1238</v>
      </c>
      <c r="Q78" s="753">
        <v>0</v>
      </c>
      <c r="R78" s="753">
        <v>0</v>
      </c>
      <c r="S78" s="753">
        <v>98960</v>
      </c>
      <c r="T78" s="753">
        <v>98960</v>
      </c>
      <c r="U78" s="753">
        <v>11114</v>
      </c>
      <c r="V78" s="751">
        <v>2019</v>
      </c>
      <c r="W78" s="222"/>
      <c r="X78" s="186"/>
      <c r="Y78" s="178" t="str">
        <f t="shared" si="4"/>
        <v/>
      </c>
      <c r="Z78" s="178" t="str">
        <f t="shared" si="5"/>
        <v/>
      </c>
      <c r="AA78" s="44"/>
      <c r="AB78" s="65"/>
    </row>
    <row r="79" spans="1:28" hidden="1">
      <c r="A79" s="751">
        <v>1498</v>
      </c>
      <c r="B79" s="752" t="s">
        <v>35</v>
      </c>
      <c r="C79" s="751" t="s">
        <v>2960</v>
      </c>
      <c r="D79" s="752" t="s">
        <v>616</v>
      </c>
      <c r="E79" s="752" t="s">
        <v>1094</v>
      </c>
      <c r="F79" s="751">
        <v>56854</v>
      </c>
      <c r="G79" s="752" t="s">
        <v>92</v>
      </c>
      <c r="H79" s="752" t="s">
        <v>1245</v>
      </c>
      <c r="I79" s="752" t="s">
        <v>60</v>
      </c>
      <c r="J79" s="751">
        <v>22</v>
      </c>
      <c r="K79" s="751">
        <v>2</v>
      </c>
      <c r="L79" s="752" t="s">
        <v>54</v>
      </c>
      <c r="M79" s="752" t="s">
        <v>37</v>
      </c>
      <c r="N79" s="752" t="s">
        <v>38</v>
      </c>
      <c r="O79" s="752" t="s">
        <v>39</v>
      </c>
      <c r="P79" s="752" t="s">
        <v>1238</v>
      </c>
      <c r="Q79" s="753">
        <v>0</v>
      </c>
      <c r="R79" s="753">
        <v>0</v>
      </c>
      <c r="S79" s="753">
        <v>47662</v>
      </c>
      <c r="T79" s="753">
        <v>47662</v>
      </c>
      <c r="U79" s="753">
        <v>5353</v>
      </c>
      <c r="V79" s="751">
        <v>2019</v>
      </c>
      <c r="W79" s="222"/>
      <c r="X79" s="186"/>
      <c r="Y79" s="178" t="str">
        <f t="shared" si="4"/>
        <v/>
      </c>
      <c r="Z79" s="178" t="str">
        <f t="shared" si="5"/>
        <v/>
      </c>
      <c r="AA79" s="44"/>
      <c r="AB79" s="65"/>
    </row>
    <row r="80" spans="1:28" hidden="1">
      <c r="A80" s="751">
        <v>1500</v>
      </c>
      <c r="B80" s="752" t="s">
        <v>35</v>
      </c>
      <c r="C80" s="751" t="s">
        <v>2960</v>
      </c>
      <c r="D80" s="752" t="s">
        <v>1095</v>
      </c>
      <c r="E80" s="752" t="s">
        <v>1094</v>
      </c>
      <c r="F80" s="751">
        <v>56854</v>
      </c>
      <c r="G80" s="752" t="s">
        <v>92</v>
      </c>
      <c r="H80" s="752" t="s">
        <v>1245</v>
      </c>
      <c r="I80" s="752" t="s">
        <v>60</v>
      </c>
      <c r="J80" s="751">
        <v>22</v>
      </c>
      <c r="K80" s="751">
        <v>2</v>
      </c>
      <c r="L80" s="752" t="s">
        <v>54</v>
      </c>
      <c r="M80" s="752" t="s">
        <v>37</v>
      </c>
      <c r="N80" s="752" t="s">
        <v>38</v>
      </c>
      <c r="O80" s="752" t="s">
        <v>39</v>
      </c>
      <c r="P80" s="752" t="s">
        <v>1238</v>
      </c>
      <c r="Q80" s="753">
        <v>0</v>
      </c>
      <c r="R80" s="753">
        <v>0</v>
      </c>
      <c r="S80" s="753">
        <v>56076</v>
      </c>
      <c r="T80" s="753">
        <v>56076</v>
      </c>
      <c r="U80" s="753">
        <v>6298</v>
      </c>
      <c r="V80" s="751">
        <v>2019</v>
      </c>
      <c r="W80" s="222"/>
      <c r="X80" s="186"/>
      <c r="Y80" s="178" t="str">
        <f t="shared" si="4"/>
        <v/>
      </c>
      <c r="Z80" s="178" t="str">
        <f t="shared" si="5"/>
        <v/>
      </c>
      <c r="AA80" s="44"/>
      <c r="AB80" s="65"/>
    </row>
    <row r="81" spans="1:28" hidden="1">
      <c r="A81" s="751">
        <v>1501</v>
      </c>
      <c r="B81" s="752" t="s">
        <v>35</v>
      </c>
      <c r="C81" s="751" t="s">
        <v>2960</v>
      </c>
      <c r="D81" s="752" t="s">
        <v>617</v>
      </c>
      <c r="E81" s="752" t="s">
        <v>1247</v>
      </c>
      <c r="F81" s="751">
        <v>39006</v>
      </c>
      <c r="G81" s="752" t="s">
        <v>92</v>
      </c>
      <c r="H81" s="752" t="s">
        <v>1245</v>
      </c>
      <c r="I81" s="752" t="s">
        <v>60</v>
      </c>
      <c r="J81" s="751">
        <v>22</v>
      </c>
      <c r="K81" s="751">
        <v>2</v>
      </c>
      <c r="L81" s="752" t="s">
        <v>54</v>
      </c>
      <c r="M81" s="752" t="s">
        <v>37</v>
      </c>
      <c r="N81" s="752" t="s">
        <v>38</v>
      </c>
      <c r="O81" s="752" t="s">
        <v>39</v>
      </c>
      <c r="P81" s="752" t="s">
        <v>1238</v>
      </c>
      <c r="Q81" s="753">
        <v>0</v>
      </c>
      <c r="R81" s="753">
        <v>0</v>
      </c>
      <c r="S81" s="753">
        <v>108202</v>
      </c>
      <c r="T81" s="753">
        <v>108202</v>
      </c>
      <c r="U81" s="753">
        <v>12152</v>
      </c>
      <c r="V81" s="751">
        <v>2019</v>
      </c>
      <c r="W81" s="222"/>
      <c r="X81" s="186"/>
      <c r="Y81" s="178" t="str">
        <f t="shared" si="4"/>
        <v/>
      </c>
      <c r="Z81" s="178" t="str">
        <f t="shared" si="5"/>
        <v/>
      </c>
      <c r="AA81" s="44"/>
      <c r="AB81" s="65"/>
    </row>
    <row r="82" spans="1:28" hidden="1">
      <c r="A82" s="751">
        <v>1504</v>
      </c>
      <c r="B82" s="752" t="s">
        <v>35</v>
      </c>
      <c r="C82" s="751" t="s">
        <v>2960</v>
      </c>
      <c r="D82" s="752" t="s">
        <v>618</v>
      </c>
      <c r="E82" s="752" t="s">
        <v>1247</v>
      </c>
      <c r="F82" s="751">
        <v>39006</v>
      </c>
      <c r="G82" s="752" t="s">
        <v>92</v>
      </c>
      <c r="H82" s="752" t="s">
        <v>1245</v>
      </c>
      <c r="I82" s="752" t="s">
        <v>60</v>
      </c>
      <c r="J82" s="751">
        <v>22</v>
      </c>
      <c r="K82" s="751">
        <v>2</v>
      </c>
      <c r="L82" s="752" t="s">
        <v>54</v>
      </c>
      <c r="M82" s="752" t="s">
        <v>37</v>
      </c>
      <c r="N82" s="752" t="s">
        <v>38</v>
      </c>
      <c r="O82" s="752" t="s">
        <v>39</v>
      </c>
      <c r="P82" s="752" t="s">
        <v>1238</v>
      </c>
      <c r="Q82" s="753">
        <v>0</v>
      </c>
      <c r="R82" s="753">
        <v>0</v>
      </c>
      <c r="S82" s="753">
        <v>394449</v>
      </c>
      <c r="T82" s="753">
        <v>394449</v>
      </c>
      <c r="U82" s="753">
        <v>44300</v>
      </c>
      <c r="V82" s="751">
        <v>2019</v>
      </c>
      <c r="W82" s="222"/>
      <c r="X82" s="186"/>
      <c r="Y82" s="178" t="str">
        <f t="shared" si="4"/>
        <v/>
      </c>
      <c r="Z82" s="178" t="str">
        <f t="shared" si="5"/>
        <v/>
      </c>
      <c r="AA82" s="44"/>
      <c r="AB82" s="65"/>
    </row>
    <row r="83" spans="1:28" hidden="1">
      <c r="A83" s="751">
        <v>1505</v>
      </c>
      <c r="B83" s="752" t="s">
        <v>35</v>
      </c>
      <c r="C83" s="751" t="s">
        <v>2960</v>
      </c>
      <c r="D83" s="752" t="s">
        <v>619</v>
      </c>
      <c r="E83" s="752" t="s">
        <v>1247</v>
      </c>
      <c r="F83" s="751">
        <v>39006</v>
      </c>
      <c r="G83" s="752" t="s">
        <v>92</v>
      </c>
      <c r="H83" s="752" t="s">
        <v>1245</v>
      </c>
      <c r="I83" s="752" t="s">
        <v>60</v>
      </c>
      <c r="J83" s="751">
        <v>22</v>
      </c>
      <c r="K83" s="751">
        <v>2</v>
      </c>
      <c r="L83" s="752" t="s">
        <v>54</v>
      </c>
      <c r="M83" s="752" t="s">
        <v>37</v>
      </c>
      <c r="N83" s="752" t="s">
        <v>38</v>
      </c>
      <c r="O83" s="752" t="s">
        <v>39</v>
      </c>
      <c r="P83" s="752" t="s">
        <v>1238</v>
      </c>
      <c r="Q83" s="753">
        <v>0</v>
      </c>
      <c r="R83" s="753">
        <v>0</v>
      </c>
      <c r="S83" s="753">
        <v>1047369</v>
      </c>
      <c r="T83" s="753">
        <v>1047369</v>
      </c>
      <c r="U83" s="753">
        <v>117629</v>
      </c>
      <c r="V83" s="751">
        <v>2019</v>
      </c>
      <c r="W83" s="222"/>
      <c r="X83" s="186"/>
      <c r="Y83" s="178" t="str">
        <f t="shared" si="4"/>
        <v/>
      </c>
      <c r="Z83" s="178" t="str">
        <f t="shared" si="5"/>
        <v/>
      </c>
      <c r="AA83" s="44"/>
      <c r="AB83" s="65"/>
    </row>
    <row r="84" spans="1:28" ht="25" hidden="1">
      <c r="A84" s="751">
        <v>1507</v>
      </c>
      <c r="B84" s="752" t="s">
        <v>35</v>
      </c>
      <c r="C84" s="751" t="s">
        <v>2960</v>
      </c>
      <c r="D84" s="752" t="s">
        <v>2963</v>
      </c>
      <c r="E84" s="752" t="s">
        <v>5</v>
      </c>
      <c r="F84" s="751">
        <v>31719</v>
      </c>
      <c r="G84" s="752" t="s">
        <v>92</v>
      </c>
      <c r="H84" s="752" t="s">
        <v>1245</v>
      </c>
      <c r="I84" s="752" t="s">
        <v>60</v>
      </c>
      <c r="J84" s="751">
        <v>22</v>
      </c>
      <c r="K84" s="751">
        <v>2</v>
      </c>
      <c r="L84" s="752" t="s">
        <v>54</v>
      </c>
      <c r="M84" s="752" t="s">
        <v>2001</v>
      </c>
      <c r="N84" s="752" t="s">
        <v>1107</v>
      </c>
      <c r="O84" s="752" t="s">
        <v>84</v>
      </c>
      <c r="P84" s="752" t="s">
        <v>2961</v>
      </c>
      <c r="Q84" s="753">
        <v>16432</v>
      </c>
      <c r="R84" s="753">
        <v>16432</v>
      </c>
      <c r="S84" s="753">
        <v>0</v>
      </c>
      <c r="T84" s="753">
        <v>0</v>
      </c>
      <c r="U84" s="753">
        <v>-2364</v>
      </c>
      <c r="V84" s="751">
        <v>2019</v>
      </c>
      <c r="W84" s="222"/>
      <c r="X84" s="186" t="str">
        <f>IF(OR(K84&gt;3,T84=0,NOT(U84&gt;0)),"",T84/U84)</f>
        <v/>
      </c>
      <c r="Y84" s="178" t="str">
        <f t="shared" si="4"/>
        <v/>
      </c>
      <c r="Z84" s="178" t="str">
        <f t="shared" si="5"/>
        <v/>
      </c>
      <c r="AA84" s="44"/>
      <c r="AB84" s="65"/>
    </row>
    <row r="85" spans="1:28" hidden="1">
      <c r="A85" s="751">
        <v>1507</v>
      </c>
      <c r="B85" s="752" t="s">
        <v>35</v>
      </c>
      <c r="C85" s="751" t="s">
        <v>2960</v>
      </c>
      <c r="D85" s="752" t="s">
        <v>2963</v>
      </c>
      <c r="E85" s="752" t="s">
        <v>5</v>
      </c>
      <c r="F85" s="751">
        <v>31719</v>
      </c>
      <c r="G85" s="752" t="s">
        <v>92</v>
      </c>
      <c r="H85" s="752" t="s">
        <v>1245</v>
      </c>
      <c r="I85" s="752" t="s">
        <v>60</v>
      </c>
      <c r="J85" s="751">
        <v>22</v>
      </c>
      <c r="K85" s="751">
        <v>2</v>
      </c>
      <c r="L85" s="752" t="s">
        <v>54</v>
      </c>
      <c r="M85" s="752" t="s">
        <v>44</v>
      </c>
      <c r="N85" s="752" t="s">
        <v>48</v>
      </c>
      <c r="O85" s="752" t="s">
        <v>48</v>
      </c>
      <c r="P85" s="752" t="s">
        <v>49</v>
      </c>
      <c r="Q85" s="753">
        <v>900</v>
      </c>
      <c r="R85" s="753">
        <v>900</v>
      </c>
      <c r="S85" s="753">
        <v>5185</v>
      </c>
      <c r="T85" s="753">
        <v>5185</v>
      </c>
      <c r="U85" s="753">
        <v>204.06399999999999</v>
      </c>
      <c r="V85" s="751">
        <v>2019</v>
      </c>
      <c r="W85" s="222" t="s">
        <v>2666</v>
      </c>
      <c r="X85" s="186"/>
      <c r="Y85" s="178" t="str">
        <f t="shared" si="4"/>
        <v/>
      </c>
      <c r="Z85" s="178" t="str">
        <f t="shared" si="5"/>
        <v/>
      </c>
      <c r="AA85" s="44"/>
      <c r="AB85" s="65"/>
    </row>
    <row r="86" spans="1:28" hidden="1">
      <c r="A86" s="751">
        <v>1507</v>
      </c>
      <c r="B86" s="752" t="s">
        <v>35</v>
      </c>
      <c r="C86" s="751" t="s">
        <v>2960</v>
      </c>
      <c r="D86" s="752" t="s">
        <v>2963</v>
      </c>
      <c r="E86" s="752" t="s">
        <v>5</v>
      </c>
      <c r="F86" s="751">
        <v>31719</v>
      </c>
      <c r="G86" s="752" t="s">
        <v>92</v>
      </c>
      <c r="H86" s="752" t="s">
        <v>1245</v>
      </c>
      <c r="I86" s="752" t="s">
        <v>60</v>
      </c>
      <c r="J86" s="751">
        <v>22</v>
      </c>
      <c r="K86" s="751">
        <v>2</v>
      </c>
      <c r="L86" s="752" t="s">
        <v>54</v>
      </c>
      <c r="M86" s="752" t="s">
        <v>44</v>
      </c>
      <c r="N86" s="752" t="s">
        <v>63</v>
      </c>
      <c r="O86" s="752" t="s">
        <v>63</v>
      </c>
      <c r="P86" s="752" t="s">
        <v>49</v>
      </c>
      <c r="Q86" s="753">
        <v>19188</v>
      </c>
      <c r="R86" s="753">
        <v>19188</v>
      </c>
      <c r="S86" s="753">
        <v>119910</v>
      </c>
      <c r="T86" s="753">
        <v>119910</v>
      </c>
      <c r="U86" s="753">
        <v>8101.9359999999997</v>
      </c>
      <c r="V86" s="751">
        <v>2019</v>
      </c>
      <c r="W86" s="222" t="s">
        <v>2666</v>
      </c>
      <c r="X86" s="186"/>
      <c r="Y86" s="178" t="str">
        <f t="shared" si="4"/>
        <v/>
      </c>
      <c r="Z86" s="178" t="str">
        <f t="shared" si="5"/>
        <v/>
      </c>
      <c r="AA86" s="44"/>
      <c r="AB86" s="65"/>
    </row>
    <row r="87" spans="1:28" hidden="1">
      <c r="A87" s="751">
        <v>1508</v>
      </c>
      <c r="B87" s="752" t="s">
        <v>35</v>
      </c>
      <c r="C87" s="751" t="s">
        <v>2960</v>
      </c>
      <c r="D87" s="752" t="s">
        <v>620</v>
      </c>
      <c r="E87" s="752" t="s">
        <v>1247</v>
      </c>
      <c r="F87" s="751">
        <v>39006</v>
      </c>
      <c r="G87" s="752" t="s">
        <v>92</v>
      </c>
      <c r="H87" s="752" t="s">
        <v>1245</v>
      </c>
      <c r="I87" s="752" t="s">
        <v>60</v>
      </c>
      <c r="J87" s="751">
        <v>22</v>
      </c>
      <c r="K87" s="751">
        <v>2</v>
      </c>
      <c r="L87" s="752" t="s">
        <v>54</v>
      </c>
      <c r="M87" s="752" t="s">
        <v>37</v>
      </c>
      <c r="N87" s="752" t="s">
        <v>38</v>
      </c>
      <c r="O87" s="752" t="s">
        <v>39</v>
      </c>
      <c r="P87" s="752" t="s">
        <v>1238</v>
      </c>
      <c r="Q87" s="753">
        <v>0</v>
      </c>
      <c r="R87" s="753">
        <v>0</v>
      </c>
      <c r="S87" s="753">
        <v>238734</v>
      </c>
      <c r="T87" s="753">
        <v>238734</v>
      </c>
      <c r="U87" s="753">
        <v>26812</v>
      </c>
      <c r="V87" s="751">
        <v>2019</v>
      </c>
      <c r="W87" s="222"/>
      <c r="X87" s="186"/>
      <c r="Y87" s="178" t="str">
        <f t="shared" si="4"/>
        <v/>
      </c>
      <c r="Z87" s="178" t="str">
        <f t="shared" si="5"/>
        <v/>
      </c>
      <c r="AA87" s="44"/>
      <c r="AB87" s="65"/>
    </row>
    <row r="88" spans="1:28" hidden="1">
      <c r="A88" s="751">
        <v>1509</v>
      </c>
      <c r="B88" s="752" t="s">
        <v>35</v>
      </c>
      <c r="C88" s="751" t="s">
        <v>2960</v>
      </c>
      <c r="D88" s="752" t="s">
        <v>1641</v>
      </c>
      <c r="E88" s="752" t="s">
        <v>1247</v>
      </c>
      <c r="F88" s="751">
        <v>39006</v>
      </c>
      <c r="G88" s="752" t="s">
        <v>92</v>
      </c>
      <c r="H88" s="752" t="s">
        <v>1245</v>
      </c>
      <c r="I88" s="752" t="s">
        <v>60</v>
      </c>
      <c r="J88" s="751">
        <v>22</v>
      </c>
      <c r="K88" s="751">
        <v>2</v>
      </c>
      <c r="L88" s="752" t="s">
        <v>54</v>
      </c>
      <c r="M88" s="752" t="s">
        <v>37</v>
      </c>
      <c r="N88" s="752" t="s">
        <v>38</v>
      </c>
      <c r="O88" s="752" t="s">
        <v>39</v>
      </c>
      <c r="P88" s="752" t="s">
        <v>1238</v>
      </c>
      <c r="Q88" s="753">
        <v>0</v>
      </c>
      <c r="R88" s="753">
        <v>0</v>
      </c>
      <c r="S88" s="753">
        <v>742015</v>
      </c>
      <c r="T88" s="753">
        <v>742015</v>
      </c>
      <c r="U88" s="753">
        <v>83335</v>
      </c>
      <c r="V88" s="751">
        <v>2019</v>
      </c>
      <c r="W88" s="222"/>
      <c r="X88" s="186"/>
      <c r="Y88" s="178" t="str">
        <f t="shared" si="4"/>
        <v/>
      </c>
      <c r="Z88" s="178" t="str">
        <f t="shared" si="5"/>
        <v/>
      </c>
      <c r="AA88" s="44"/>
      <c r="AB88" s="65"/>
    </row>
    <row r="89" spans="1:28" hidden="1">
      <c r="A89" s="751">
        <v>1510</v>
      </c>
      <c r="B89" s="752" t="s">
        <v>35</v>
      </c>
      <c r="C89" s="751" t="s">
        <v>2960</v>
      </c>
      <c r="D89" s="752" t="s">
        <v>1642</v>
      </c>
      <c r="E89" s="752" t="s">
        <v>1247</v>
      </c>
      <c r="F89" s="751">
        <v>39006</v>
      </c>
      <c r="G89" s="752" t="s">
        <v>92</v>
      </c>
      <c r="H89" s="752" t="s">
        <v>1245</v>
      </c>
      <c r="I89" s="752" t="s">
        <v>60</v>
      </c>
      <c r="J89" s="751">
        <v>22</v>
      </c>
      <c r="K89" s="751">
        <v>2</v>
      </c>
      <c r="L89" s="752" t="s">
        <v>54</v>
      </c>
      <c r="M89" s="752" t="s">
        <v>37</v>
      </c>
      <c r="N89" s="752" t="s">
        <v>38</v>
      </c>
      <c r="O89" s="752" t="s">
        <v>39</v>
      </c>
      <c r="P89" s="752" t="s">
        <v>1238</v>
      </c>
      <c r="Q89" s="753">
        <v>0</v>
      </c>
      <c r="R89" s="753">
        <v>0</v>
      </c>
      <c r="S89" s="753">
        <v>574442</v>
      </c>
      <c r="T89" s="753">
        <v>574442</v>
      </c>
      <c r="U89" s="753">
        <v>64515</v>
      </c>
      <c r="V89" s="751">
        <v>2019</v>
      </c>
      <c r="W89" s="222"/>
      <c r="X89" s="186"/>
      <c r="Y89" s="178" t="str">
        <f t="shared" si="4"/>
        <v/>
      </c>
      <c r="Z89" s="178" t="str">
        <f t="shared" si="5"/>
        <v/>
      </c>
      <c r="AA89" s="44"/>
      <c r="AB89" s="65"/>
    </row>
    <row r="90" spans="1:28" hidden="1">
      <c r="A90" s="751">
        <v>1511</v>
      </c>
      <c r="B90" s="752" t="s">
        <v>35</v>
      </c>
      <c r="C90" s="751" t="s">
        <v>2960</v>
      </c>
      <c r="D90" s="752" t="s">
        <v>6</v>
      </c>
      <c r="E90" s="752" t="s">
        <v>1247</v>
      </c>
      <c r="F90" s="751">
        <v>39006</v>
      </c>
      <c r="G90" s="752" t="s">
        <v>92</v>
      </c>
      <c r="H90" s="752" t="s">
        <v>1245</v>
      </c>
      <c r="I90" s="752" t="s">
        <v>60</v>
      </c>
      <c r="J90" s="751">
        <v>22</v>
      </c>
      <c r="K90" s="751">
        <v>2</v>
      </c>
      <c r="L90" s="752" t="s">
        <v>54</v>
      </c>
      <c r="M90" s="752" t="s">
        <v>37</v>
      </c>
      <c r="N90" s="752" t="s">
        <v>38</v>
      </c>
      <c r="O90" s="752" t="s">
        <v>39</v>
      </c>
      <c r="P90" s="752" t="s">
        <v>1238</v>
      </c>
      <c r="Q90" s="753">
        <v>0</v>
      </c>
      <c r="R90" s="753">
        <v>0</v>
      </c>
      <c r="S90" s="753">
        <v>3482176</v>
      </c>
      <c r="T90" s="753">
        <v>3482176</v>
      </c>
      <c r="U90" s="753">
        <v>391080</v>
      </c>
      <c r="V90" s="751">
        <v>2019</v>
      </c>
      <c r="W90" s="222"/>
      <c r="X90" s="186"/>
      <c r="Y90" s="178" t="str">
        <f t="shared" si="4"/>
        <v/>
      </c>
      <c r="Z90" s="178" t="str">
        <f t="shared" si="5"/>
        <v/>
      </c>
      <c r="AA90" s="44"/>
      <c r="AB90" s="65"/>
    </row>
    <row r="91" spans="1:28" hidden="1">
      <c r="A91" s="751">
        <v>1513</v>
      </c>
      <c r="B91" s="752" t="s">
        <v>35</v>
      </c>
      <c r="C91" s="751" t="s">
        <v>2960</v>
      </c>
      <c r="D91" s="752" t="s">
        <v>621</v>
      </c>
      <c r="E91" s="752" t="s">
        <v>1924</v>
      </c>
      <c r="F91" s="751">
        <v>60160</v>
      </c>
      <c r="G91" s="752" t="s">
        <v>92</v>
      </c>
      <c r="H91" s="752" t="s">
        <v>1245</v>
      </c>
      <c r="I91" s="752" t="s">
        <v>60</v>
      </c>
      <c r="J91" s="751">
        <v>22</v>
      </c>
      <c r="K91" s="751">
        <v>2</v>
      </c>
      <c r="L91" s="752" t="s">
        <v>54</v>
      </c>
      <c r="M91" s="752" t="s">
        <v>37</v>
      </c>
      <c r="N91" s="752" t="s">
        <v>38</v>
      </c>
      <c r="O91" s="752" t="s">
        <v>39</v>
      </c>
      <c r="P91" s="752" t="s">
        <v>1238</v>
      </c>
      <c r="Q91" s="753">
        <v>0</v>
      </c>
      <c r="R91" s="753">
        <v>0</v>
      </c>
      <c r="S91" s="753">
        <v>0</v>
      </c>
      <c r="T91" s="753">
        <v>0</v>
      </c>
      <c r="U91" s="753">
        <v>0</v>
      </c>
      <c r="V91" s="751">
        <v>2019</v>
      </c>
      <c r="W91" s="222"/>
      <c r="X91" s="186"/>
      <c r="Y91" s="178" t="str">
        <f t="shared" si="4"/>
        <v/>
      </c>
      <c r="Z91" s="178" t="str">
        <f t="shared" si="5"/>
        <v/>
      </c>
      <c r="AA91" s="44"/>
      <c r="AB91" s="65"/>
    </row>
    <row r="92" spans="1:28" hidden="1">
      <c r="A92" s="751">
        <v>1513</v>
      </c>
      <c r="B92" s="752" t="s">
        <v>35</v>
      </c>
      <c r="C92" s="751" t="s">
        <v>2960</v>
      </c>
      <c r="D92" s="752" t="s">
        <v>621</v>
      </c>
      <c r="E92" s="752" t="s">
        <v>1924</v>
      </c>
      <c r="F92" s="751">
        <v>60160</v>
      </c>
      <c r="G92" s="752" t="s">
        <v>92</v>
      </c>
      <c r="H92" s="752" t="s">
        <v>1245</v>
      </c>
      <c r="I92" s="752" t="s">
        <v>60</v>
      </c>
      <c r="J92" s="751">
        <v>22</v>
      </c>
      <c r="K92" s="751">
        <v>2</v>
      </c>
      <c r="L92" s="752" t="s">
        <v>54</v>
      </c>
      <c r="M92" s="752" t="s">
        <v>53</v>
      </c>
      <c r="N92" s="752" t="s">
        <v>48</v>
      </c>
      <c r="O92" s="752" t="s">
        <v>48</v>
      </c>
      <c r="P92" s="752" t="s">
        <v>49</v>
      </c>
      <c r="Q92" s="753">
        <v>0</v>
      </c>
      <c r="R92" s="753">
        <v>0</v>
      </c>
      <c r="S92" s="753">
        <v>0</v>
      </c>
      <c r="T92" s="753">
        <v>0</v>
      </c>
      <c r="U92" s="753">
        <v>0</v>
      </c>
      <c r="V92" s="751">
        <v>2019</v>
      </c>
      <c r="W92" s="222"/>
      <c r="X92" s="186"/>
      <c r="Y92" s="178" t="str">
        <f t="shared" si="4"/>
        <v/>
      </c>
      <c r="Z92" s="178" t="str">
        <f t="shared" si="5"/>
        <v/>
      </c>
      <c r="AA92" s="44"/>
      <c r="AB92" s="65"/>
    </row>
    <row r="93" spans="1:28" hidden="1">
      <c r="A93" s="751">
        <v>1516</v>
      </c>
      <c r="B93" s="752" t="s">
        <v>35</v>
      </c>
      <c r="C93" s="751" t="s">
        <v>2960</v>
      </c>
      <c r="D93" s="752" t="s">
        <v>622</v>
      </c>
      <c r="E93" s="752" t="s">
        <v>1096</v>
      </c>
      <c r="F93" s="751">
        <v>14597</v>
      </c>
      <c r="G93" s="752" t="s">
        <v>92</v>
      </c>
      <c r="H93" s="752" t="s">
        <v>1245</v>
      </c>
      <c r="I93" s="752" t="s">
        <v>60</v>
      </c>
      <c r="J93" s="751">
        <v>22</v>
      </c>
      <c r="K93" s="751">
        <v>2</v>
      </c>
      <c r="L93" s="752" t="s">
        <v>54</v>
      </c>
      <c r="M93" s="752" t="s">
        <v>37</v>
      </c>
      <c r="N93" s="752" t="s">
        <v>38</v>
      </c>
      <c r="O93" s="752" t="s">
        <v>39</v>
      </c>
      <c r="P93" s="752" t="s">
        <v>1238</v>
      </c>
      <c r="Q93" s="753">
        <v>0</v>
      </c>
      <c r="R93" s="753">
        <v>0</v>
      </c>
      <c r="S93" s="753">
        <v>9973</v>
      </c>
      <c r="T93" s="753">
        <v>9973</v>
      </c>
      <c r="U93" s="753">
        <v>1120</v>
      </c>
      <c r="V93" s="751">
        <v>2019</v>
      </c>
      <c r="W93" s="222"/>
      <c r="X93" s="186">
        <f>IF(OR(K93&gt;3,T93=0,NOT(U93&gt;0)),"",T93/U93)</f>
        <v>8.9044642857142851</v>
      </c>
      <c r="Y93" s="178" t="str">
        <f t="shared" si="4"/>
        <v/>
      </c>
      <c r="Z93" s="178" t="str">
        <f t="shared" si="5"/>
        <v/>
      </c>
      <c r="AA93" s="44"/>
      <c r="AB93" s="65"/>
    </row>
    <row r="94" spans="1:28" hidden="1">
      <c r="A94" s="751">
        <v>1586</v>
      </c>
      <c r="B94" s="752" t="s">
        <v>35</v>
      </c>
      <c r="C94" s="751" t="s">
        <v>2960</v>
      </c>
      <c r="D94" s="752" t="s">
        <v>623</v>
      </c>
      <c r="E94" s="752" t="s">
        <v>624</v>
      </c>
      <c r="F94" s="751">
        <v>6035</v>
      </c>
      <c r="G94" s="752" t="s">
        <v>83</v>
      </c>
      <c r="H94" s="752" t="s">
        <v>1245</v>
      </c>
      <c r="I94" s="752" t="s">
        <v>60</v>
      </c>
      <c r="J94" s="751">
        <v>22</v>
      </c>
      <c r="K94" s="751">
        <v>2</v>
      </c>
      <c r="L94" s="752" t="s">
        <v>54</v>
      </c>
      <c r="M94" s="752" t="s">
        <v>52</v>
      </c>
      <c r="N94" s="752" t="s">
        <v>48</v>
      </c>
      <c r="O94" s="752" t="s">
        <v>48</v>
      </c>
      <c r="P94" s="752" t="s">
        <v>49</v>
      </c>
      <c r="Q94" s="753">
        <v>941</v>
      </c>
      <c r="R94" s="753">
        <v>941</v>
      </c>
      <c r="S94" s="753">
        <v>5467</v>
      </c>
      <c r="T94" s="753">
        <v>5467</v>
      </c>
      <c r="U94" s="753">
        <v>402</v>
      </c>
      <c r="V94" s="751">
        <v>2019</v>
      </c>
      <c r="W94" s="222"/>
      <c r="X94" s="186"/>
      <c r="Y94" s="178" t="str">
        <f t="shared" si="4"/>
        <v/>
      </c>
      <c r="Z94" s="178" t="str">
        <f t="shared" si="5"/>
        <v/>
      </c>
      <c r="AA94" s="44"/>
      <c r="AB94" s="65"/>
    </row>
    <row r="95" spans="1:28" hidden="1">
      <c r="A95" s="751">
        <v>1588</v>
      </c>
      <c r="B95" s="752" t="s">
        <v>35</v>
      </c>
      <c r="C95" s="751" t="s">
        <v>2960</v>
      </c>
      <c r="D95" s="752" t="s">
        <v>7</v>
      </c>
      <c r="E95" s="752" t="s">
        <v>1157</v>
      </c>
      <c r="F95" s="751">
        <v>49965</v>
      </c>
      <c r="G95" s="752" t="s">
        <v>83</v>
      </c>
      <c r="H95" s="752" t="s">
        <v>1245</v>
      </c>
      <c r="I95" s="752" t="s">
        <v>60</v>
      </c>
      <c r="J95" s="751">
        <v>22</v>
      </c>
      <c r="K95" s="751">
        <v>2</v>
      </c>
      <c r="L95" s="752" t="s">
        <v>54</v>
      </c>
      <c r="M95" s="752" t="s">
        <v>40</v>
      </c>
      <c r="N95" s="752" t="s">
        <v>41</v>
      </c>
      <c r="O95" s="752" t="s">
        <v>41</v>
      </c>
      <c r="P95" s="752" t="s">
        <v>1091</v>
      </c>
      <c r="Q95" s="753">
        <v>2281079</v>
      </c>
      <c r="R95" s="753">
        <v>2281079</v>
      </c>
      <c r="S95" s="753">
        <v>2361353</v>
      </c>
      <c r="T95" s="753">
        <v>2361353</v>
      </c>
      <c r="U95" s="753">
        <v>722311</v>
      </c>
      <c r="V95" s="751">
        <v>2019</v>
      </c>
      <c r="W95" s="222" t="s">
        <v>2666</v>
      </c>
      <c r="X95" s="186">
        <f t="shared" ref="X95:X110" si="6">IF(OR(K95&gt;3,T95=0,NOT(U95&gt;0)),"",T95/U95)</f>
        <v>3.2691638366299283</v>
      </c>
      <c r="Y95" s="178" t="str">
        <f t="shared" si="4"/>
        <v/>
      </c>
      <c r="Z95" s="178" t="str">
        <f t="shared" si="5"/>
        <v/>
      </c>
      <c r="AA95" s="44"/>
      <c r="AB95" s="65"/>
    </row>
    <row r="96" spans="1:28" hidden="1">
      <c r="A96" s="751">
        <v>1588</v>
      </c>
      <c r="B96" s="752" t="s">
        <v>35</v>
      </c>
      <c r="C96" s="751" t="s">
        <v>2960</v>
      </c>
      <c r="D96" s="752" t="s">
        <v>7</v>
      </c>
      <c r="E96" s="752" t="s">
        <v>1157</v>
      </c>
      <c r="F96" s="751">
        <v>49965</v>
      </c>
      <c r="G96" s="752" t="s">
        <v>83</v>
      </c>
      <c r="H96" s="752" t="s">
        <v>1245</v>
      </c>
      <c r="I96" s="752" t="s">
        <v>60</v>
      </c>
      <c r="J96" s="751">
        <v>22</v>
      </c>
      <c r="K96" s="751">
        <v>2</v>
      </c>
      <c r="L96" s="752" t="s">
        <v>54</v>
      </c>
      <c r="M96" s="752" t="s">
        <v>43</v>
      </c>
      <c r="N96" s="752" t="s">
        <v>41</v>
      </c>
      <c r="O96" s="752" t="s">
        <v>41</v>
      </c>
      <c r="P96" s="752" t="s">
        <v>1091</v>
      </c>
      <c r="Q96" s="753">
        <v>13748544</v>
      </c>
      <c r="R96" s="753">
        <v>13748544</v>
      </c>
      <c r="S96" s="753">
        <v>14215982</v>
      </c>
      <c r="T96" s="753">
        <v>14215982</v>
      </c>
      <c r="U96" s="753">
        <v>1440354</v>
      </c>
      <c r="V96" s="751">
        <v>2019</v>
      </c>
      <c r="W96" s="222" t="s">
        <v>2666</v>
      </c>
      <c r="X96" s="186">
        <f t="shared" si="6"/>
        <v>9.8697834004696059</v>
      </c>
      <c r="Y96" s="178" t="str">
        <f t="shared" si="4"/>
        <v/>
      </c>
      <c r="Z96" s="178" t="str">
        <f t="shared" si="5"/>
        <v/>
      </c>
      <c r="AA96" s="44"/>
      <c r="AB96" s="65"/>
    </row>
    <row r="97" spans="1:28" hidden="1">
      <c r="A97" s="751">
        <v>1588</v>
      </c>
      <c r="B97" s="752" t="s">
        <v>35</v>
      </c>
      <c r="C97" s="751" t="s">
        <v>2960</v>
      </c>
      <c r="D97" s="752" t="s">
        <v>7</v>
      </c>
      <c r="E97" s="752" t="s">
        <v>1157</v>
      </c>
      <c r="F97" s="751">
        <v>49965</v>
      </c>
      <c r="G97" s="752" t="s">
        <v>83</v>
      </c>
      <c r="H97" s="752" t="s">
        <v>1245</v>
      </c>
      <c r="I97" s="752" t="s">
        <v>60</v>
      </c>
      <c r="J97" s="751">
        <v>22</v>
      </c>
      <c r="K97" s="751">
        <v>2</v>
      </c>
      <c r="L97" s="752" t="s">
        <v>54</v>
      </c>
      <c r="M97" s="752" t="s">
        <v>52</v>
      </c>
      <c r="N97" s="752" t="s">
        <v>48</v>
      </c>
      <c r="O97" s="752" t="s">
        <v>48</v>
      </c>
      <c r="P97" s="752" t="s">
        <v>49</v>
      </c>
      <c r="Q97" s="753">
        <v>408</v>
      </c>
      <c r="R97" s="753">
        <v>408</v>
      </c>
      <c r="S97" s="753">
        <v>2372</v>
      </c>
      <c r="T97" s="753">
        <v>2372</v>
      </c>
      <c r="U97" s="753">
        <v>129</v>
      </c>
      <c r="V97" s="751">
        <v>2019</v>
      </c>
      <c r="W97" s="222" t="s">
        <v>2666</v>
      </c>
      <c r="X97" s="186">
        <f t="shared" si="6"/>
        <v>18.387596899224807</v>
      </c>
      <c r="Y97" s="178" t="str">
        <f t="shared" si="4"/>
        <v/>
      </c>
      <c r="Z97" s="178" t="str">
        <f t="shared" si="5"/>
        <v/>
      </c>
      <c r="AA97" s="44"/>
      <c r="AB97" s="65"/>
    </row>
    <row r="98" spans="1:28" hidden="1">
      <c r="A98" s="751">
        <v>1588</v>
      </c>
      <c r="B98" s="752" t="s">
        <v>35</v>
      </c>
      <c r="C98" s="751" t="s">
        <v>2960</v>
      </c>
      <c r="D98" s="752" t="s">
        <v>7</v>
      </c>
      <c r="E98" s="752" t="s">
        <v>1157</v>
      </c>
      <c r="F98" s="751">
        <v>49965</v>
      </c>
      <c r="G98" s="752" t="s">
        <v>83</v>
      </c>
      <c r="H98" s="752" t="s">
        <v>1245</v>
      </c>
      <c r="I98" s="752" t="s">
        <v>60</v>
      </c>
      <c r="J98" s="751">
        <v>22</v>
      </c>
      <c r="K98" s="751">
        <v>2</v>
      </c>
      <c r="L98" s="752" t="s">
        <v>54</v>
      </c>
      <c r="M98" s="752" t="s">
        <v>44</v>
      </c>
      <c r="N98" s="752" t="s">
        <v>41</v>
      </c>
      <c r="O98" s="752" t="s">
        <v>41</v>
      </c>
      <c r="P98" s="752" t="s">
        <v>1091</v>
      </c>
      <c r="Q98" s="753">
        <v>19051</v>
      </c>
      <c r="R98" s="753">
        <v>19051</v>
      </c>
      <c r="S98" s="753">
        <v>19671</v>
      </c>
      <c r="T98" s="753">
        <v>19671</v>
      </c>
      <c r="U98" s="753">
        <v>1679.241</v>
      </c>
      <c r="V98" s="751">
        <v>2019</v>
      </c>
      <c r="W98" s="222" t="s">
        <v>2666</v>
      </c>
      <c r="X98" s="186">
        <f t="shared" si="6"/>
        <v>11.714220889080245</v>
      </c>
      <c r="Y98" s="178" t="str">
        <f t="shared" si="4"/>
        <v/>
      </c>
      <c r="Z98" s="178" t="str">
        <f t="shared" si="5"/>
        <v/>
      </c>
      <c r="AA98" s="44"/>
      <c r="AB98" s="65"/>
    </row>
    <row r="99" spans="1:28" hidden="1">
      <c r="A99" s="751">
        <v>1588</v>
      </c>
      <c r="B99" s="752" t="s">
        <v>35</v>
      </c>
      <c r="C99" s="751" t="s">
        <v>2960</v>
      </c>
      <c r="D99" s="752" t="s">
        <v>7</v>
      </c>
      <c r="E99" s="752" t="s">
        <v>1157</v>
      </c>
      <c r="F99" s="751">
        <v>49965</v>
      </c>
      <c r="G99" s="752" t="s">
        <v>83</v>
      </c>
      <c r="H99" s="752" t="s">
        <v>1245</v>
      </c>
      <c r="I99" s="752" t="s">
        <v>60</v>
      </c>
      <c r="J99" s="751">
        <v>22</v>
      </c>
      <c r="K99" s="751">
        <v>2</v>
      </c>
      <c r="L99" s="752" t="s">
        <v>54</v>
      </c>
      <c r="M99" s="752" t="s">
        <v>44</v>
      </c>
      <c r="N99" s="752" t="s">
        <v>63</v>
      </c>
      <c r="O99" s="752" t="s">
        <v>63</v>
      </c>
      <c r="P99" s="752" t="s">
        <v>49</v>
      </c>
      <c r="Q99" s="753">
        <v>43760</v>
      </c>
      <c r="R99" s="753">
        <v>43760</v>
      </c>
      <c r="S99" s="753">
        <v>275688</v>
      </c>
      <c r="T99" s="753">
        <v>275688</v>
      </c>
      <c r="U99" s="753">
        <v>23553.758999999998</v>
      </c>
      <c r="V99" s="751">
        <v>2019</v>
      </c>
      <c r="W99" s="222" t="s">
        <v>2666</v>
      </c>
      <c r="X99" s="186">
        <f t="shared" si="6"/>
        <v>11.704628547825424</v>
      </c>
      <c r="Y99" s="178" t="str">
        <f t="shared" si="4"/>
        <v/>
      </c>
      <c r="Z99" s="178" t="str">
        <f t="shared" si="5"/>
        <v/>
      </c>
      <c r="AA99" s="44"/>
      <c r="AB99" s="65"/>
    </row>
    <row r="100" spans="1:28" hidden="1">
      <c r="A100" s="751">
        <v>1590</v>
      </c>
      <c r="B100" s="752" t="s">
        <v>35</v>
      </c>
      <c r="C100" s="751">
        <v>1</v>
      </c>
      <c r="D100" s="752" t="s">
        <v>8</v>
      </c>
      <c r="E100" s="752" t="s">
        <v>9</v>
      </c>
      <c r="F100" s="751">
        <v>29926</v>
      </c>
      <c r="G100" s="752" t="s">
        <v>83</v>
      </c>
      <c r="H100" s="752" t="s">
        <v>1245</v>
      </c>
      <c r="I100" s="752" t="s">
        <v>60</v>
      </c>
      <c r="J100" s="751">
        <v>22</v>
      </c>
      <c r="K100" s="751">
        <v>2</v>
      </c>
      <c r="L100" s="752" t="s">
        <v>54</v>
      </c>
      <c r="M100" s="752" t="s">
        <v>44</v>
      </c>
      <c r="N100" s="752" t="s">
        <v>55</v>
      </c>
      <c r="O100" s="752" t="s">
        <v>55</v>
      </c>
      <c r="P100" s="752" t="s">
        <v>1238</v>
      </c>
      <c r="Q100" s="753">
        <v>0</v>
      </c>
      <c r="R100" s="753">
        <v>0</v>
      </c>
      <c r="S100" s="753">
        <v>22733512</v>
      </c>
      <c r="T100" s="753">
        <v>22733512</v>
      </c>
      <c r="U100" s="753">
        <v>2177204</v>
      </c>
      <c r="V100" s="751">
        <v>2019</v>
      </c>
      <c r="W100" s="222"/>
      <c r="X100" s="186">
        <f t="shared" si="6"/>
        <v>10.441608595244176</v>
      </c>
      <c r="Y100" s="178" t="str">
        <f t="shared" si="4"/>
        <v/>
      </c>
      <c r="Z100" s="178" t="str">
        <f t="shared" si="5"/>
        <v/>
      </c>
      <c r="AA100" s="44"/>
      <c r="AB100" s="65"/>
    </row>
    <row r="101" spans="1:28" hidden="1">
      <c r="A101" s="751">
        <v>1592</v>
      </c>
      <c r="B101" s="752" t="s">
        <v>35</v>
      </c>
      <c r="C101" s="751" t="s">
        <v>2960</v>
      </c>
      <c r="D101" s="752" t="s">
        <v>625</v>
      </c>
      <c r="E101" s="752" t="s">
        <v>624</v>
      </c>
      <c r="F101" s="751">
        <v>6035</v>
      </c>
      <c r="G101" s="752" t="s">
        <v>83</v>
      </c>
      <c r="H101" s="752" t="s">
        <v>1245</v>
      </c>
      <c r="I101" s="752" t="s">
        <v>60</v>
      </c>
      <c r="J101" s="751">
        <v>22</v>
      </c>
      <c r="K101" s="751">
        <v>2</v>
      </c>
      <c r="L101" s="752" t="s">
        <v>54</v>
      </c>
      <c r="M101" s="752" t="s">
        <v>52</v>
      </c>
      <c r="N101" s="752" t="s">
        <v>48</v>
      </c>
      <c r="O101" s="752" t="s">
        <v>48</v>
      </c>
      <c r="P101" s="752" t="s">
        <v>49</v>
      </c>
      <c r="Q101" s="753">
        <v>5567</v>
      </c>
      <c r="R101" s="753">
        <v>5567</v>
      </c>
      <c r="S101" s="753">
        <v>32343</v>
      </c>
      <c r="T101" s="753">
        <v>32343</v>
      </c>
      <c r="U101" s="753">
        <v>1266</v>
      </c>
      <c r="V101" s="751">
        <v>2019</v>
      </c>
      <c r="W101" s="222" t="s">
        <v>2666</v>
      </c>
      <c r="X101" s="186">
        <f t="shared" si="6"/>
        <v>25.547393364928912</v>
      </c>
      <c r="Y101" s="178" t="str">
        <f t="shared" si="4"/>
        <v/>
      </c>
      <c r="Z101" s="178" t="str">
        <f t="shared" si="5"/>
        <v/>
      </c>
      <c r="AA101" s="44"/>
      <c r="AB101" s="65"/>
    </row>
    <row r="102" spans="1:28" hidden="1">
      <c r="A102" s="751">
        <v>1595</v>
      </c>
      <c r="B102" s="752" t="s">
        <v>56</v>
      </c>
      <c r="C102" s="751" t="s">
        <v>2960</v>
      </c>
      <c r="D102" s="752" t="s">
        <v>10</v>
      </c>
      <c r="E102" s="752" t="s">
        <v>2964</v>
      </c>
      <c r="F102" s="751">
        <v>59528</v>
      </c>
      <c r="G102" s="752" t="s">
        <v>83</v>
      </c>
      <c r="H102" s="752" t="s">
        <v>1245</v>
      </c>
      <c r="I102" s="752" t="s">
        <v>60</v>
      </c>
      <c r="J102" s="751">
        <v>22</v>
      </c>
      <c r="K102" s="751">
        <v>3</v>
      </c>
      <c r="L102" s="752" t="s">
        <v>57</v>
      </c>
      <c r="M102" s="752" t="s">
        <v>40</v>
      </c>
      <c r="N102" s="752" t="s">
        <v>48</v>
      </c>
      <c r="O102" s="752" t="s">
        <v>48</v>
      </c>
      <c r="P102" s="752" t="s">
        <v>49</v>
      </c>
      <c r="Q102" s="753">
        <v>0</v>
      </c>
      <c r="R102" s="753">
        <v>0</v>
      </c>
      <c r="S102" s="753">
        <v>0</v>
      </c>
      <c r="T102" s="753">
        <v>0</v>
      </c>
      <c r="U102" s="753">
        <v>41.954000000000001</v>
      </c>
      <c r="V102" s="751">
        <v>2019</v>
      </c>
      <c r="W102" s="222"/>
      <c r="X102" s="186" t="str">
        <f t="shared" si="6"/>
        <v/>
      </c>
      <c r="Y102" s="178" t="str">
        <f t="shared" si="4"/>
        <v/>
      </c>
      <c r="Z102" s="178" t="str">
        <f t="shared" si="5"/>
        <v/>
      </c>
      <c r="AA102" s="44"/>
      <c r="AB102" s="65"/>
    </row>
    <row r="103" spans="1:28" hidden="1">
      <c r="A103" s="751">
        <v>1595</v>
      </c>
      <c r="B103" s="752" t="s">
        <v>56</v>
      </c>
      <c r="C103" s="751" t="s">
        <v>2960</v>
      </c>
      <c r="D103" s="752" t="s">
        <v>10</v>
      </c>
      <c r="E103" s="752" t="s">
        <v>2964</v>
      </c>
      <c r="F103" s="751">
        <v>59528</v>
      </c>
      <c r="G103" s="752" t="s">
        <v>83</v>
      </c>
      <c r="H103" s="752" t="s">
        <v>1245</v>
      </c>
      <c r="I103" s="752" t="s">
        <v>60</v>
      </c>
      <c r="J103" s="751">
        <v>22</v>
      </c>
      <c r="K103" s="751">
        <v>3</v>
      </c>
      <c r="L103" s="752" t="s">
        <v>57</v>
      </c>
      <c r="M103" s="752" t="s">
        <v>40</v>
      </c>
      <c r="N103" s="752" t="s">
        <v>41</v>
      </c>
      <c r="O103" s="752" t="s">
        <v>41</v>
      </c>
      <c r="P103" s="752" t="s">
        <v>1091</v>
      </c>
      <c r="Q103" s="753">
        <v>131538</v>
      </c>
      <c r="R103" s="753">
        <v>131538</v>
      </c>
      <c r="S103" s="753">
        <v>135218</v>
      </c>
      <c r="T103" s="753">
        <v>135218</v>
      </c>
      <c r="U103" s="753">
        <v>165823.04999999999</v>
      </c>
      <c r="V103" s="751">
        <v>2019</v>
      </c>
      <c r="W103" s="222"/>
      <c r="X103" s="186">
        <f t="shared" si="6"/>
        <v>0.81543548981881597</v>
      </c>
      <c r="Y103" s="178" t="str">
        <f t="shared" si="4"/>
        <v/>
      </c>
      <c r="Z103" s="178" t="str">
        <f t="shared" si="5"/>
        <v/>
      </c>
      <c r="AA103" s="44"/>
      <c r="AB103" s="65"/>
    </row>
    <row r="104" spans="1:28" hidden="1">
      <c r="A104" s="751">
        <v>1595</v>
      </c>
      <c r="B104" s="752" t="s">
        <v>56</v>
      </c>
      <c r="C104" s="751" t="s">
        <v>2960</v>
      </c>
      <c r="D104" s="752" t="s">
        <v>10</v>
      </c>
      <c r="E104" s="752" t="s">
        <v>2964</v>
      </c>
      <c r="F104" s="751">
        <v>59528</v>
      </c>
      <c r="G104" s="752" t="s">
        <v>83</v>
      </c>
      <c r="H104" s="752" t="s">
        <v>1245</v>
      </c>
      <c r="I104" s="752" t="s">
        <v>60</v>
      </c>
      <c r="J104" s="751">
        <v>22</v>
      </c>
      <c r="K104" s="751">
        <v>3</v>
      </c>
      <c r="L104" s="752" t="s">
        <v>57</v>
      </c>
      <c r="M104" s="752" t="s">
        <v>43</v>
      </c>
      <c r="N104" s="752" t="s">
        <v>48</v>
      </c>
      <c r="O104" s="752" t="s">
        <v>48</v>
      </c>
      <c r="P104" s="752" t="s">
        <v>49</v>
      </c>
      <c r="Q104" s="753">
        <v>622</v>
      </c>
      <c r="R104" s="753">
        <v>384</v>
      </c>
      <c r="S104" s="753">
        <v>3607</v>
      </c>
      <c r="T104" s="753">
        <v>2229</v>
      </c>
      <c r="U104" s="753">
        <v>339.82600000000002</v>
      </c>
      <c r="V104" s="751">
        <v>2019</v>
      </c>
      <c r="W104" s="222"/>
      <c r="X104" s="186">
        <f t="shared" si="6"/>
        <v>6.5592391400304857</v>
      </c>
      <c r="Y104" s="178" t="str">
        <f t="shared" si="4"/>
        <v/>
      </c>
      <c r="Z104" s="178" t="str">
        <f t="shared" si="5"/>
        <v/>
      </c>
      <c r="AA104" s="44"/>
      <c r="AB104" s="65"/>
    </row>
    <row r="105" spans="1:28" hidden="1">
      <c r="A105" s="751">
        <v>1595</v>
      </c>
      <c r="B105" s="752" t="s">
        <v>56</v>
      </c>
      <c r="C105" s="751" t="s">
        <v>2960</v>
      </c>
      <c r="D105" s="752" t="s">
        <v>10</v>
      </c>
      <c r="E105" s="752" t="s">
        <v>2964</v>
      </c>
      <c r="F105" s="751">
        <v>59528</v>
      </c>
      <c r="G105" s="752" t="s">
        <v>83</v>
      </c>
      <c r="H105" s="752" t="s">
        <v>1245</v>
      </c>
      <c r="I105" s="752" t="s">
        <v>60</v>
      </c>
      <c r="J105" s="751">
        <v>22</v>
      </c>
      <c r="K105" s="751">
        <v>3</v>
      </c>
      <c r="L105" s="752" t="s">
        <v>57</v>
      </c>
      <c r="M105" s="752" t="s">
        <v>43</v>
      </c>
      <c r="N105" s="752" t="s">
        <v>41</v>
      </c>
      <c r="O105" s="752" t="s">
        <v>41</v>
      </c>
      <c r="P105" s="752" t="s">
        <v>1091</v>
      </c>
      <c r="Q105" s="753">
        <v>13480569</v>
      </c>
      <c r="R105" s="753">
        <v>8105796</v>
      </c>
      <c r="S105" s="753">
        <v>13858325</v>
      </c>
      <c r="T105" s="753">
        <v>8333029</v>
      </c>
      <c r="U105" s="753">
        <v>1280422.2</v>
      </c>
      <c r="V105" s="751">
        <v>2019</v>
      </c>
      <c r="W105" s="222"/>
      <c r="X105" s="186">
        <f t="shared" si="6"/>
        <v>6.5080322724801247</v>
      </c>
      <c r="Y105" s="178" t="str">
        <f t="shared" si="4"/>
        <v/>
      </c>
      <c r="Z105" s="178" t="str">
        <f t="shared" si="5"/>
        <v/>
      </c>
      <c r="AA105" s="44"/>
      <c r="AB105" s="65"/>
    </row>
    <row r="106" spans="1:28" hidden="1">
      <c r="A106" s="751">
        <v>1595</v>
      </c>
      <c r="B106" s="752" t="s">
        <v>56</v>
      </c>
      <c r="C106" s="751" t="s">
        <v>2960</v>
      </c>
      <c r="D106" s="752" t="s">
        <v>10</v>
      </c>
      <c r="E106" s="752" t="s">
        <v>2964</v>
      </c>
      <c r="F106" s="751">
        <v>59528</v>
      </c>
      <c r="G106" s="752" t="s">
        <v>83</v>
      </c>
      <c r="H106" s="752" t="s">
        <v>1245</v>
      </c>
      <c r="I106" s="752" t="s">
        <v>60</v>
      </c>
      <c r="J106" s="751">
        <v>22</v>
      </c>
      <c r="K106" s="751">
        <v>3</v>
      </c>
      <c r="L106" s="752" t="s">
        <v>57</v>
      </c>
      <c r="M106" s="752" t="s">
        <v>43</v>
      </c>
      <c r="N106" s="752" t="s">
        <v>63</v>
      </c>
      <c r="O106" s="752" t="s">
        <v>63</v>
      </c>
      <c r="P106" s="752" t="s">
        <v>49</v>
      </c>
      <c r="Q106" s="753">
        <v>0</v>
      </c>
      <c r="R106" s="753">
        <v>0</v>
      </c>
      <c r="S106" s="753">
        <v>0</v>
      </c>
      <c r="T106" s="753">
        <v>0</v>
      </c>
      <c r="U106" s="753">
        <v>0</v>
      </c>
      <c r="V106" s="751">
        <v>2019</v>
      </c>
      <c r="W106" s="222"/>
      <c r="X106" s="186" t="str">
        <f t="shared" si="6"/>
        <v/>
      </c>
      <c r="Y106" s="178" t="str">
        <f t="shared" si="4"/>
        <v/>
      </c>
      <c r="Z106" s="178" t="str">
        <f t="shared" si="5"/>
        <v/>
      </c>
      <c r="AA106" s="44"/>
      <c r="AB106" s="65"/>
    </row>
    <row r="107" spans="1:28" hidden="1">
      <c r="A107" s="751">
        <v>1595</v>
      </c>
      <c r="B107" s="752" t="s">
        <v>56</v>
      </c>
      <c r="C107" s="751" t="s">
        <v>2960</v>
      </c>
      <c r="D107" s="752" t="s">
        <v>10</v>
      </c>
      <c r="E107" s="752" t="s">
        <v>2964</v>
      </c>
      <c r="F107" s="751">
        <v>59528</v>
      </c>
      <c r="G107" s="752" t="s">
        <v>83</v>
      </c>
      <c r="H107" s="752" t="s">
        <v>1245</v>
      </c>
      <c r="I107" s="752" t="s">
        <v>60</v>
      </c>
      <c r="J107" s="751">
        <v>22</v>
      </c>
      <c r="K107" s="751">
        <v>3</v>
      </c>
      <c r="L107" s="752" t="s">
        <v>57</v>
      </c>
      <c r="M107" s="752" t="s">
        <v>52</v>
      </c>
      <c r="N107" s="752" t="s">
        <v>48</v>
      </c>
      <c r="O107" s="752" t="s">
        <v>48</v>
      </c>
      <c r="P107" s="752" t="s">
        <v>49</v>
      </c>
      <c r="Q107" s="753">
        <v>662</v>
      </c>
      <c r="R107" s="753">
        <v>143</v>
      </c>
      <c r="S107" s="753">
        <v>3841</v>
      </c>
      <c r="T107" s="753">
        <v>836</v>
      </c>
      <c r="U107" s="753">
        <v>147</v>
      </c>
      <c r="V107" s="751">
        <v>2019</v>
      </c>
      <c r="W107" s="222"/>
      <c r="X107" s="186">
        <f t="shared" si="6"/>
        <v>5.6870748299319729</v>
      </c>
      <c r="Y107" s="178" t="str">
        <f t="shared" si="4"/>
        <v/>
      </c>
      <c r="Z107" s="178" t="str">
        <f t="shared" si="5"/>
        <v/>
      </c>
      <c r="AA107" s="44"/>
      <c r="AB107" s="65"/>
    </row>
    <row r="108" spans="1:28" ht="25" hidden="1">
      <c r="A108" s="751">
        <v>1597</v>
      </c>
      <c r="B108" s="752" t="s">
        <v>35</v>
      </c>
      <c r="C108" s="751" t="s">
        <v>2960</v>
      </c>
      <c r="D108" s="752" t="s">
        <v>626</v>
      </c>
      <c r="E108" s="752" t="s">
        <v>2450</v>
      </c>
      <c r="F108" s="751">
        <v>21461</v>
      </c>
      <c r="G108" s="752" t="s">
        <v>83</v>
      </c>
      <c r="H108" s="752" t="s">
        <v>1245</v>
      </c>
      <c r="I108" s="752" t="s">
        <v>60</v>
      </c>
      <c r="J108" s="751">
        <v>22</v>
      </c>
      <c r="K108" s="751">
        <v>2</v>
      </c>
      <c r="L108" s="752" t="s">
        <v>54</v>
      </c>
      <c r="M108" s="752" t="s">
        <v>53</v>
      </c>
      <c r="N108" s="752" t="s">
        <v>48</v>
      </c>
      <c r="O108" s="752" t="s">
        <v>48</v>
      </c>
      <c r="P108" s="752" t="s">
        <v>49</v>
      </c>
      <c r="Q108" s="753">
        <v>1355</v>
      </c>
      <c r="R108" s="753">
        <v>1355</v>
      </c>
      <c r="S108" s="753">
        <v>7823</v>
      </c>
      <c r="T108" s="753">
        <v>7823</v>
      </c>
      <c r="U108" s="753">
        <v>786</v>
      </c>
      <c r="V108" s="751">
        <v>2019</v>
      </c>
      <c r="W108" s="222"/>
      <c r="X108" s="186">
        <f t="shared" si="6"/>
        <v>9.9529262086513999</v>
      </c>
      <c r="Y108" s="178" t="str">
        <f t="shared" si="4"/>
        <v/>
      </c>
      <c r="Z108" s="178" t="str">
        <f t="shared" si="5"/>
        <v/>
      </c>
      <c r="AA108" s="44"/>
      <c r="AB108" s="65"/>
    </row>
    <row r="109" spans="1:28" hidden="1">
      <c r="A109" s="751">
        <v>1599</v>
      </c>
      <c r="B109" s="752" t="s">
        <v>35</v>
      </c>
      <c r="C109" s="751" t="s">
        <v>2960</v>
      </c>
      <c r="D109" s="752" t="s">
        <v>11</v>
      </c>
      <c r="E109" s="752" t="s">
        <v>2451</v>
      </c>
      <c r="F109" s="751">
        <v>61708</v>
      </c>
      <c r="G109" s="752" t="s">
        <v>83</v>
      </c>
      <c r="H109" s="752" t="s">
        <v>1245</v>
      </c>
      <c r="I109" s="752" t="s">
        <v>60</v>
      </c>
      <c r="J109" s="751">
        <v>22</v>
      </c>
      <c r="K109" s="751">
        <v>2</v>
      </c>
      <c r="L109" s="752" t="s">
        <v>54</v>
      </c>
      <c r="M109" s="752" t="s">
        <v>52</v>
      </c>
      <c r="N109" s="752" t="s">
        <v>48</v>
      </c>
      <c r="O109" s="752" t="s">
        <v>48</v>
      </c>
      <c r="P109" s="752" t="s">
        <v>49</v>
      </c>
      <c r="Q109" s="753">
        <v>11643</v>
      </c>
      <c r="R109" s="753">
        <v>11643</v>
      </c>
      <c r="S109" s="753">
        <v>67529</v>
      </c>
      <c r="T109" s="753">
        <v>67529</v>
      </c>
      <c r="U109" s="753">
        <v>5138.4660000000003</v>
      </c>
      <c r="V109" s="751">
        <v>2019</v>
      </c>
      <c r="W109" s="222" t="s">
        <v>2666</v>
      </c>
      <c r="X109" s="186">
        <f t="shared" si="6"/>
        <v>13.141859846888156</v>
      </c>
      <c r="Y109" s="178" t="str">
        <f t="shared" si="4"/>
        <v/>
      </c>
      <c r="Z109" s="178" t="str">
        <f t="shared" si="5"/>
        <v/>
      </c>
      <c r="AA109" s="44"/>
      <c r="AB109" s="65"/>
    </row>
    <row r="110" spans="1:28" hidden="1">
      <c r="A110" s="751">
        <v>1599</v>
      </c>
      <c r="B110" s="752" t="s">
        <v>35</v>
      </c>
      <c r="C110" s="751" t="s">
        <v>2960</v>
      </c>
      <c r="D110" s="752" t="s">
        <v>11</v>
      </c>
      <c r="E110" s="752" t="s">
        <v>2451</v>
      </c>
      <c r="F110" s="751">
        <v>61708</v>
      </c>
      <c r="G110" s="752" t="s">
        <v>83</v>
      </c>
      <c r="H110" s="752" t="s">
        <v>1245</v>
      </c>
      <c r="I110" s="752" t="s">
        <v>60</v>
      </c>
      <c r="J110" s="751">
        <v>22</v>
      </c>
      <c r="K110" s="751">
        <v>2</v>
      </c>
      <c r="L110" s="752" t="s">
        <v>54</v>
      </c>
      <c r="M110" s="752" t="s">
        <v>52</v>
      </c>
      <c r="N110" s="752" t="s">
        <v>41</v>
      </c>
      <c r="O110" s="752" t="s">
        <v>41</v>
      </c>
      <c r="P110" s="752" t="s">
        <v>1091</v>
      </c>
      <c r="Q110" s="753">
        <v>1470302</v>
      </c>
      <c r="R110" s="753">
        <v>1470302</v>
      </c>
      <c r="S110" s="753">
        <v>1512579</v>
      </c>
      <c r="T110" s="753">
        <v>1512579</v>
      </c>
      <c r="U110" s="753">
        <v>154875.53</v>
      </c>
      <c r="V110" s="751">
        <v>2019</v>
      </c>
      <c r="W110" s="222" t="s">
        <v>2666</v>
      </c>
      <c r="X110" s="186">
        <f t="shared" si="6"/>
        <v>9.7664169413980382</v>
      </c>
      <c r="Y110" s="178" t="str">
        <f t="shared" si="4"/>
        <v/>
      </c>
      <c r="Z110" s="178" t="str">
        <f t="shared" si="5"/>
        <v/>
      </c>
      <c r="AA110" s="44"/>
      <c r="AB110" s="65"/>
    </row>
    <row r="111" spans="1:28" hidden="1">
      <c r="A111" s="751">
        <v>1599</v>
      </c>
      <c r="B111" s="752" t="s">
        <v>35</v>
      </c>
      <c r="C111" s="751" t="s">
        <v>2960</v>
      </c>
      <c r="D111" s="752" t="s">
        <v>11</v>
      </c>
      <c r="E111" s="752" t="s">
        <v>2451</v>
      </c>
      <c r="F111" s="751">
        <v>61708</v>
      </c>
      <c r="G111" s="752" t="s">
        <v>83</v>
      </c>
      <c r="H111" s="752" t="s">
        <v>1245</v>
      </c>
      <c r="I111" s="752" t="s">
        <v>60</v>
      </c>
      <c r="J111" s="751">
        <v>22</v>
      </c>
      <c r="K111" s="751">
        <v>2</v>
      </c>
      <c r="L111" s="752" t="s">
        <v>54</v>
      </c>
      <c r="M111" s="752" t="s">
        <v>44</v>
      </c>
      <c r="N111" s="752" t="s">
        <v>48</v>
      </c>
      <c r="O111" s="752" t="s">
        <v>48</v>
      </c>
      <c r="P111" s="752" t="s">
        <v>49</v>
      </c>
      <c r="Q111" s="753">
        <v>250</v>
      </c>
      <c r="R111" s="753">
        <v>250</v>
      </c>
      <c r="S111" s="753">
        <v>1449</v>
      </c>
      <c r="T111" s="753">
        <v>1449</v>
      </c>
      <c r="U111" s="753">
        <v>123.62</v>
      </c>
      <c r="V111" s="751">
        <v>2019</v>
      </c>
      <c r="W111" s="222" t="s">
        <v>2666</v>
      </c>
      <c r="X111" s="186"/>
      <c r="Y111" s="178" t="str">
        <f t="shared" si="4"/>
        <v/>
      </c>
      <c r="Z111" s="178" t="str">
        <f t="shared" si="5"/>
        <v/>
      </c>
      <c r="AA111" s="44"/>
      <c r="AB111" s="65"/>
    </row>
    <row r="112" spans="1:28" hidden="1">
      <c r="A112" s="751">
        <v>1599</v>
      </c>
      <c r="B112" s="752" t="s">
        <v>35</v>
      </c>
      <c r="C112" s="751" t="s">
        <v>2960</v>
      </c>
      <c r="D112" s="752" t="s">
        <v>11</v>
      </c>
      <c r="E112" s="752" t="s">
        <v>2451</v>
      </c>
      <c r="F112" s="751">
        <v>61708</v>
      </c>
      <c r="G112" s="752" t="s">
        <v>83</v>
      </c>
      <c r="H112" s="752" t="s">
        <v>1245</v>
      </c>
      <c r="I112" s="752" t="s">
        <v>60</v>
      </c>
      <c r="J112" s="751">
        <v>22</v>
      </c>
      <c r="K112" s="751">
        <v>2</v>
      </c>
      <c r="L112" s="752" t="s">
        <v>54</v>
      </c>
      <c r="M112" s="752" t="s">
        <v>44</v>
      </c>
      <c r="N112" s="752" t="s">
        <v>41</v>
      </c>
      <c r="O112" s="752" t="s">
        <v>41</v>
      </c>
      <c r="P112" s="752" t="s">
        <v>1091</v>
      </c>
      <c r="Q112" s="753">
        <v>79567</v>
      </c>
      <c r="R112" s="753">
        <v>79567</v>
      </c>
      <c r="S112" s="753">
        <v>81882</v>
      </c>
      <c r="T112" s="753">
        <v>81882</v>
      </c>
      <c r="U112" s="753">
        <v>5741.55</v>
      </c>
      <c r="V112" s="751">
        <v>2019</v>
      </c>
      <c r="W112" s="222" t="s">
        <v>2666</v>
      </c>
      <c r="X112" s="186"/>
      <c r="Y112" s="178" t="str">
        <f t="shared" si="4"/>
        <v/>
      </c>
      <c r="Z112" s="178" t="str">
        <f t="shared" si="5"/>
        <v/>
      </c>
      <c r="AA112" s="44"/>
      <c r="AB112" s="65"/>
    </row>
    <row r="113" spans="1:28" hidden="1">
      <c r="A113" s="751">
        <v>1599</v>
      </c>
      <c r="B113" s="752" t="s">
        <v>35</v>
      </c>
      <c r="C113" s="751" t="s">
        <v>2960</v>
      </c>
      <c r="D113" s="752" t="s">
        <v>11</v>
      </c>
      <c r="E113" s="752" t="s">
        <v>2451</v>
      </c>
      <c r="F113" s="751">
        <v>61708</v>
      </c>
      <c r="G113" s="752" t="s">
        <v>83</v>
      </c>
      <c r="H113" s="752" t="s">
        <v>1245</v>
      </c>
      <c r="I113" s="752" t="s">
        <v>60</v>
      </c>
      <c r="J113" s="751">
        <v>22</v>
      </c>
      <c r="K113" s="751">
        <v>2</v>
      </c>
      <c r="L113" s="752" t="s">
        <v>54</v>
      </c>
      <c r="M113" s="752" t="s">
        <v>44</v>
      </c>
      <c r="N113" s="752" t="s">
        <v>63</v>
      </c>
      <c r="O113" s="752" t="s">
        <v>63</v>
      </c>
      <c r="P113" s="752" t="s">
        <v>49</v>
      </c>
      <c r="Q113" s="753">
        <v>65599</v>
      </c>
      <c r="R113" s="753">
        <v>65599</v>
      </c>
      <c r="S113" s="753">
        <v>413274</v>
      </c>
      <c r="T113" s="753">
        <v>413274</v>
      </c>
      <c r="U113" s="753">
        <v>29746.83</v>
      </c>
      <c r="V113" s="751">
        <v>2019</v>
      </c>
      <c r="W113" s="222" t="s">
        <v>2666</v>
      </c>
      <c r="X113" s="186"/>
      <c r="Y113" s="178" t="str">
        <f t="shared" si="4"/>
        <v/>
      </c>
      <c r="Z113" s="178" t="str">
        <f t="shared" si="5"/>
        <v/>
      </c>
      <c r="AA113" s="44"/>
      <c r="AB113" s="65"/>
    </row>
    <row r="114" spans="1:28" ht="25" hidden="1">
      <c r="A114" s="751">
        <v>1603</v>
      </c>
      <c r="B114" s="752" t="s">
        <v>35</v>
      </c>
      <c r="C114" s="751" t="s">
        <v>2960</v>
      </c>
      <c r="D114" s="752" t="s">
        <v>627</v>
      </c>
      <c r="E114" s="752" t="s">
        <v>628</v>
      </c>
      <c r="F114" s="751">
        <v>8776</v>
      </c>
      <c r="G114" s="752" t="s">
        <v>83</v>
      </c>
      <c r="H114" s="752" t="s">
        <v>1245</v>
      </c>
      <c r="I114" s="752" t="s">
        <v>60</v>
      </c>
      <c r="J114" s="751">
        <v>22</v>
      </c>
      <c r="K114" s="751">
        <v>1</v>
      </c>
      <c r="L114" s="752" t="s">
        <v>36</v>
      </c>
      <c r="M114" s="752" t="s">
        <v>37</v>
      </c>
      <c r="N114" s="752" t="s">
        <v>38</v>
      </c>
      <c r="O114" s="752" t="s">
        <v>39</v>
      </c>
      <c r="P114" s="752" t="s">
        <v>1238</v>
      </c>
      <c r="Q114" s="753">
        <v>0</v>
      </c>
      <c r="R114" s="753">
        <v>0</v>
      </c>
      <c r="S114" s="753">
        <v>136970</v>
      </c>
      <c r="T114" s="753">
        <v>136970</v>
      </c>
      <c r="U114" s="753">
        <v>15383</v>
      </c>
      <c r="V114" s="751">
        <v>2019</v>
      </c>
      <c r="W114" s="222"/>
      <c r="X114" s="186"/>
      <c r="Y114" s="178" t="str">
        <f t="shared" si="4"/>
        <v/>
      </c>
      <c r="Z114" s="178" t="str">
        <f t="shared" si="5"/>
        <v/>
      </c>
      <c r="AA114" s="44"/>
      <c r="AB114" s="65"/>
    </row>
    <row r="115" spans="1:28" ht="25" hidden="1">
      <c r="A115" s="751">
        <v>1604</v>
      </c>
      <c r="B115" s="752" t="s">
        <v>35</v>
      </c>
      <c r="C115" s="751" t="s">
        <v>2960</v>
      </c>
      <c r="D115" s="752" t="s">
        <v>629</v>
      </c>
      <c r="E115" s="752" t="s">
        <v>628</v>
      </c>
      <c r="F115" s="751">
        <v>8776</v>
      </c>
      <c r="G115" s="752" t="s">
        <v>83</v>
      </c>
      <c r="H115" s="752" t="s">
        <v>1245</v>
      </c>
      <c r="I115" s="752" t="s">
        <v>60</v>
      </c>
      <c r="J115" s="751">
        <v>22</v>
      </c>
      <c r="K115" s="751">
        <v>1</v>
      </c>
      <c r="L115" s="752" t="s">
        <v>36</v>
      </c>
      <c r="M115" s="752" t="s">
        <v>37</v>
      </c>
      <c r="N115" s="752" t="s">
        <v>38</v>
      </c>
      <c r="O115" s="752" t="s">
        <v>39</v>
      </c>
      <c r="P115" s="752" t="s">
        <v>1238</v>
      </c>
      <c r="Q115" s="753">
        <v>0</v>
      </c>
      <c r="R115" s="753">
        <v>0</v>
      </c>
      <c r="S115" s="753">
        <v>14229</v>
      </c>
      <c r="T115" s="753">
        <v>14229</v>
      </c>
      <c r="U115" s="753">
        <v>1598</v>
      </c>
      <c r="V115" s="751">
        <v>2019</v>
      </c>
      <c r="W115" s="222"/>
      <c r="X115" s="186"/>
      <c r="Y115" s="178" t="str">
        <f t="shared" si="4"/>
        <v/>
      </c>
      <c r="Z115" s="178" t="str">
        <f t="shared" si="5"/>
        <v/>
      </c>
      <c r="AA115" s="44"/>
      <c r="AB115" s="65"/>
    </row>
    <row r="116" spans="1:28" ht="25" hidden="1">
      <c r="A116" s="751">
        <v>1605</v>
      </c>
      <c r="B116" s="752" t="s">
        <v>35</v>
      </c>
      <c r="C116" s="751" t="s">
        <v>2960</v>
      </c>
      <c r="D116" s="752" t="s">
        <v>630</v>
      </c>
      <c r="E116" s="752" t="s">
        <v>628</v>
      </c>
      <c r="F116" s="751">
        <v>8776</v>
      </c>
      <c r="G116" s="752" t="s">
        <v>83</v>
      </c>
      <c r="H116" s="752" t="s">
        <v>1245</v>
      </c>
      <c r="I116" s="752" t="s">
        <v>60</v>
      </c>
      <c r="J116" s="751">
        <v>22</v>
      </c>
      <c r="K116" s="751">
        <v>1</v>
      </c>
      <c r="L116" s="752" t="s">
        <v>36</v>
      </c>
      <c r="M116" s="752" t="s">
        <v>37</v>
      </c>
      <c r="N116" s="752" t="s">
        <v>38</v>
      </c>
      <c r="O116" s="752" t="s">
        <v>39</v>
      </c>
      <c r="P116" s="752" t="s">
        <v>1238</v>
      </c>
      <c r="Q116" s="753">
        <v>0</v>
      </c>
      <c r="R116" s="753">
        <v>0</v>
      </c>
      <c r="S116" s="753">
        <v>939445</v>
      </c>
      <c r="T116" s="753">
        <v>939445</v>
      </c>
      <c r="U116" s="753">
        <v>105508</v>
      </c>
      <c r="V116" s="751">
        <v>2019</v>
      </c>
      <c r="W116" s="222"/>
      <c r="X116" s="186"/>
      <c r="Y116" s="178" t="str">
        <f t="shared" si="4"/>
        <v/>
      </c>
      <c r="Z116" s="178" t="str">
        <f t="shared" si="5"/>
        <v/>
      </c>
      <c r="AA116" s="44"/>
      <c r="AB116" s="65"/>
    </row>
    <row r="117" spans="1:28" ht="25" hidden="1">
      <c r="A117" s="751">
        <v>1607</v>
      </c>
      <c r="B117" s="752" t="s">
        <v>35</v>
      </c>
      <c r="C117" s="751" t="s">
        <v>2960</v>
      </c>
      <c r="D117" s="752" t="s">
        <v>1643</v>
      </c>
      <c r="E117" s="752" t="s">
        <v>628</v>
      </c>
      <c r="F117" s="751">
        <v>8776</v>
      </c>
      <c r="G117" s="752" t="s">
        <v>83</v>
      </c>
      <c r="H117" s="752" t="s">
        <v>1245</v>
      </c>
      <c r="I117" s="752" t="s">
        <v>60</v>
      </c>
      <c r="J117" s="751">
        <v>22</v>
      </c>
      <c r="K117" s="751">
        <v>1</v>
      </c>
      <c r="L117" s="752" t="s">
        <v>36</v>
      </c>
      <c r="M117" s="752" t="s">
        <v>37</v>
      </c>
      <c r="N117" s="752" t="s">
        <v>38</v>
      </c>
      <c r="O117" s="752" t="s">
        <v>39</v>
      </c>
      <c r="P117" s="752" t="s">
        <v>1238</v>
      </c>
      <c r="Q117" s="753">
        <v>0</v>
      </c>
      <c r="R117" s="753">
        <v>0</v>
      </c>
      <c r="S117" s="753">
        <v>304623</v>
      </c>
      <c r="T117" s="753">
        <v>304623</v>
      </c>
      <c r="U117" s="753">
        <v>34212</v>
      </c>
      <c r="V117" s="751">
        <v>2019</v>
      </c>
      <c r="W117" s="222"/>
      <c r="X117" s="186"/>
      <c r="Y117" s="178" t="str">
        <f t="shared" si="4"/>
        <v/>
      </c>
      <c r="Z117" s="178" t="str">
        <f t="shared" si="5"/>
        <v/>
      </c>
      <c r="AA117" s="44"/>
      <c r="AB117" s="65"/>
    </row>
    <row r="118" spans="1:28" ht="25" hidden="1">
      <c r="A118" s="751">
        <v>1615</v>
      </c>
      <c r="B118" s="752" t="s">
        <v>35</v>
      </c>
      <c r="C118" s="751" t="s">
        <v>2960</v>
      </c>
      <c r="D118" s="752" t="s">
        <v>2965</v>
      </c>
      <c r="E118" s="752" t="s">
        <v>631</v>
      </c>
      <c r="F118" s="751">
        <v>13206</v>
      </c>
      <c r="G118" s="752" t="s">
        <v>83</v>
      </c>
      <c r="H118" s="752" t="s">
        <v>1245</v>
      </c>
      <c r="I118" s="752" t="s">
        <v>60</v>
      </c>
      <c r="J118" s="751">
        <v>22</v>
      </c>
      <c r="K118" s="751">
        <v>1</v>
      </c>
      <c r="L118" s="752" t="s">
        <v>36</v>
      </c>
      <c r="M118" s="752" t="s">
        <v>2001</v>
      </c>
      <c r="N118" s="752" t="s">
        <v>1107</v>
      </c>
      <c r="O118" s="752" t="s">
        <v>84</v>
      </c>
      <c r="P118" s="752" t="s">
        <v>2961</v>
      </c>
      <c r="Q118" s="753">
        <v>0</v>
      </c>
      <c r="R118" s="753">
        <v>0</v>
      </c>
      <c r="S118" s="753">
        <v>0</v>
      </c>
      <c r="T118" s="753">
        <v>0</v>
      </c>
      <c r="U118" s="753">
        <v>0</v>
      </c>
      <c r="V118" s="751">
        <v>2019</v>
      </c>
      <c r="W118" s="222"/>
      <c r="X118" s="186"/>
      <c r="Y118" s="178" t="str">
        <f t="shared" si="4"/>
        <v/>
      </c>
      <c r="Z118" s="178" t="str">
        <f t="shared" si="5"/>
        <v/>
      </c>
      <c r="AA118" s="44"/>
      <c r="AB118" s="65"/>
    </row>
    <row r="119" spans="1:28" hidden="1">
      <c r="A119" s="751">
        <v>1615</v>
      </c>
      <c r="B119" s="752" t="s">
        <v>35</v>
      </c>
      <c r="C119" s="751" t="s">
        <v>2960</v>
      </c>
      <c r="D119" s="752" t="s">
        <v>2965</v>
      </c>
      <c r="E119" s="752" t="s">
        <v>631</v>
      </c>
      <c r="F119" s="751">
        <v>13206</v>
      </c>
      <c r="G119" s="752" t="s">
        <v>83</v>
      </c>
      <c r="H119" s="752" t="s">
        <v>1245</v>
      </c>
      <c r="I119" s="752" t="s">
        <v>60</v>
      </c>
      <c r="J119" s="751">
        <v>22</v>
      </c>
      <c r="K119" s="751">
        <v>1</v>
      </c>
      <c r="L119" s="752" t="s">
        <v>36</v>
      </c>
      <c r="M119" s="752" t="s">
        <v>52</v>
      </c>
      <c r="N119" s="752" t="s">
        <v>48</v>
      </c>
      <c r="O119" s="752" t="s">
        <v>48</v>
      </c>
      <c r="P119" s="752" t="s">
        <v>49</v>
      </c>
      <c r="Q119" s="753">
        <v>2043</v>
      </c>
      <c r="R119" s="753">
        <v>2043</v>
      </c>
      <c r="S119" s="753">
        <v>11849</v>
      </c>
      <c r="T119" s="753">
        <v>11849</v>
      </c>
      <c r="U119" s="753">
        <v>558</v>
      </c>
      <c r="V119" s="751">
        <v>2019</v>
      </c>
      <c r="W119" s="222"/>
      <c r="X119" s="186">
        <f>IF(OR(K119&gt;3,T119=0,NOT(U119&gt;0)),"",T119/U119)</f>
        <v>21.234767025089607</v>
      </c>
      <c r="Y119" s="178" t="str">
        <f t="shared" si="4"/>
        <v/>
      </c>
      <c r="Z119" s="178" t="str">
        <f t="shared" si="5"/>
        <v/>
      </c>
      <c r="AA119" s="44"/>
      <c r="AB119" s="65"/>
    </row>
    <row r="120" spans="1:28" hidden="1">
      <c r="A120" s="751">
        <v>1615</v>
      </c>
      <c r="B120" s="752" t="s">
        <v>35</v>
      </c>
      <c r="C120" s="751" t="s">
        <v>2960</v>
      </c>
      <c r="D120" s="752" t="s">
        <v>2965</v>
      </c>
      <c r="E120" s="752" t="s">
        <v>631</v>
      </c>
      <c r="F120" s="751">
        <v>13206</v>
      </c>
      <c r="G120" s="752" t="s">
        <v>83</v>
      </c>
      <c r="H120" s="752" t="s">
        <v>1245</v>
      </c>
      <c r="I120" s="752" t="s">
        <v>60</v>
      </c>
      <c r="J120" s="751">
        <v>22</v>
      </c>
      <c r="K120" s="751">
        <v>1</v>
      </c>
      <c r="L120" s="752" t="s">
        <v>36</v>
      </c>
      <c r="M120" s="752" t="s">
        <v>53</v>
      </c>
      <c r="N120" s="752" t="s">
        <v>48</v>
      </c>
      <c r="O120" s="752" t="s">
        <v>48</v>
      </c>
      <c r="P120" s="752" t="s">
        <v>49</v>
      </c>
      <c r="Q120" s="753">
        <v>21</v>
      </c>
      <c r="R120" s="753">
        <v>21</v>
      </c>
      <c r="S120" s="753">
        <v>122</v>
      </c>
      <c r="T120" s="753">
        <v>122</v>
      </c>
      <c r="U120" s="753">
        <v>13</v>
      </c>
      <c r="V120" s="751">
        <v>2019</v>
      </c>
      <c r="W120" s="222"/>
      <c r="X120" s="186">
        <f>IF(OR(K120&gt;3,T120=0,NOT(U120&gt;0)),"",T120/U120)</f>
        <v>9.384615384615385</v>
      </c>
      <c r="Y120" s="178" t="str">
        <f t="shared" si="4"/>
        <v/>
      </c>
      <c r="Z120" s="178" t="str">
        <f t="shared" si="5"/>
        <v/>
      </c>
      <c r="AA120" s="44"/>
      <c r="AB120" s="65"/>
    </row>
    <row r="121" spans="1:28" hidden="1">
      <c r="A121" s="751">
        <v>1620</v>
      </c>
      <c r="B121" s="752" t="s">
        <v>35</v>
      </c>
      <c r="C121" s="751" t="s">
        <v>2960</v>
      </c>
      <c r="D121" s="752" t="s">
        <v>632</v>
      </c>
      <c r="E121" s="752" t="s">
        <v>2248</v>
      </c>
      <c r="F121" s="751">
        <v>61122</v>
      </c>
      <c r="G121" s="752" t="s">
        <v>83</v>
      </c>
      <c r="H121" s="752" t="s">
        <v>1245</v>
      </c>
      <c r="I121" s="752" t="s">
        <v>60</v>
      </c>
      <c r="J121" s="751">
        <v>22</v>
      </c>
      <c r="K121" s="751">
        <v>2</v>
      </c>
      <c r="L121" s="752" t="s">
        <v>54</v>
      </c>
      <c r="M121" s="752" t="s">
        <v>37</v>
      </c>
      <c r="N121" s="752" t="s">
        <v>38</v>
      </c>
      <c r="O121" s="752" t="s">
        <v>39</v>
      </c>
      <c r="P121" s="752" t="s">
        <v>1238</v>
      </c>
      <c r="Q121" s="753">
        <v>0</v>
      </c>
      <c r="R121" s="753">
        <v>0</v>
      </c>
      <c r="S121" s="753">
        <v>464443</v>
      </c>
      <c r="T121" s="753">
        <v>464443</v>
      </c>
      <c r="U121" s="753">
        <v>52161</v>
      </c>
      <c r="V121" s="751">
        <v>2019</v>
      </c>
      <c r="W121" s="222"/>
      <c r="X121" s="186"/>
      <c r="Y121" s="178" t="str">
        <f t="shared" si="4"/>
        <v/>
      </c>
      <c r="Z121" s="178" t="str">
        <f t="shared" si="5"/>
        <v/>
      </c>
      <c r="AA121" s="44"/>
      <c r="AB121" s="65"/>
    </row>
    <row r="122" spans="1:28" ht="25" hidden="1">
      <c r="A122" s="751">
        <v>1629</v>
      </c>
      <c r="B122" s="752" t="s">
        <v>35</v>
      </c>
      <c r="C122" s="751" t="s">
        <v>2960</v>
      </c>
      <c r="D122" s="752" t="s">
        <v>12</v>
      </c>
      <c r="E122" s="752" t="s">
        <v>1246</v>
      </c>
      <c r="F122" s="751">
        <v>58185</v>
      </c>
      <c r="G122" s="752" t="s">
        <v>83</v>
      </c>
      <c r="H122" s="752" t="s">
        <v>1245</v>
      </c>
      <c r="I122" s="752" t="s">
        <v>60</v>
      </c>
      <c r="J122" s="751">
        <v>22</v>
      </c>
      <c r="K122" s="751">
        <v>2</v>
      </c>
      <c r="L122" s="752" t="s">
        <v>54</v>
      </c>
      <c r="M122" s="752" t="s">
        <v>37</v>
      </c>
      <c r="N122" s="752" t="s">
        <v>38</v>
      </c>
      <c r="O122" s="752" t="s">
        <v>39</v>
      </c>
      <c r="P122" s="752" t="s">
        <v>1238</v>
      </c>
      <c r="Q122" s="753">
        <v>0</v>
      </c>
      <c r="R122" s="753">
        <v>0</v>
      </c>
      <c r="S122" s="753">
        <v>2675633</v>
      </c>
      <c r="T122" s="753">
        <v>2675633</v>
      </c>
      <c r="U122" s="753">
        <v>300498</v>
      </c>
      <c r="V122" s="751">
        <v>2019</v>
      </c>
      <c r="W122" s="222"/>
      <c r="X122" s="186"/>
      <c r="Y122" s="178" t="str">
        <f t="shared" si="4"/>
        <v/>
      </c>
      <c r="Z122" s="178" t="str">
        <f t="shared" si="5"/>
        <v/>
      </c>
      <c r="AA122" s="44"/>
      <c r="AB122" s="65"/>
    </row>
    <row r="123" spans="1:28" ht="25" hidden="1">
      <c r="A123" s="751">
        <v>1630</v>
      </c>
      <c r="B123" s="752" t="s">
        <v>35</v>
      </c>
      <c r="C123" s="751" t="s">
        <v>2960</v>
      </c>
      <c r="D123" s="752" t="s">
        <v>633</v>
      </c>
      <c r="E123" s="752" t="s">
        <v>628</v>
      </c>
      <c r="F123" s="751">
        <v>8776</v>
      </c>
      <c r="G123" s="752" t="s">
        <v>83</v>
      </c>
      <c r="H123" s="752" t="s">
        <v>1245</v>
      </c>
      <c r="I123" s="752" t="s">
        <v>60</v>
      </c>
      <c r="J123" s="751">
        <v>22</v>
      </c>
      <c r="K123" s="751">
        <v>1</v>
      </c>
      <c r="L123" s="752" t="s">
        <v>36</v>
      </c>
      <c r="M123" s="752" t="s">
        <v>37</v>
      </c>
      <c r="N123" s="752" t="s">
        <v>38</v>
      </c>
      <c r="O123" s="752" t="s">
        <v>39</v>
      </c>
      <c r="P123" s="752" t="s">
        <v>1238</v>
      </c>
      <c r="Q123" s="753">
        <v>0</v>
      </c>
      <c r="R123" s="753">
        <v>0</v>
      </c>
      <c r="S123" s="753">
        <v>187552</v>
      </c>
      <c r="T123" s="753">
        <v>187552</v>
      </c>
      <c r="U123" s="753">
        <v>21064</v>
      </c>
      <c r="V123" s="751">
        <v>2019</v>
      </c>
      <c r="W123" s="222"/>
      <c r="X123" s="186"/>
      <c r="Y123" s="178" t="str">
        <f t="shared" si="4"/>
        <v/>
      </c>
      <c r="Z123" s="178" t="str">
        <f t="shared" si="5"/>
        <v/>
      </c>
      <c r="AA123" s="44"/>
      <c r="AB123" s="65"/>
    </row>
    <row r="124" spans="1:28" hidden="1">
      <c r="A124" s="751">
        <v>1631</v>
      </c>
      <c r="B124" s="752" t="s">
        <v>35</v>
      </c>
      <c r="C124" s="751" t="s">
        <v>2960</v>
      </c>
      <c r="D124" s="752" t="s">
        <v>634</v>
      </c>
      <c r="E124" s="752" t="s">
        <v>2011</v>
      </c>
      <c r="F124" s="751">
        <v>56401</v>
      </c>
      <c r="G124" s="752" t="s">
        <v>83</v>
      </c>
      <c r="H124" s="752" t="s">
        <v>1245</v>
      </c>
      <c r="I124" s="752" t="s">
        <v>60</v>
      </c>
      <c r="J124" s="751">
        <v>22</v>
      </c>
      <c r="K124" s="751">
        <v>2</v>
      </c>
      <c r="L124" s="752" t="s">
        <v>54</v>
      </c>
      <c r="M124" s="752" t="s">
        <v>52</v>
      </c>
      <c r="N124" s="752" t="s">
        <v>68</v>
      </c>
      <c r="O124" s="752" t="s">
        <v>69</v>
      </c>
      <c r="P124" s="752" t="s">
        <v>49</v>
      </c>
      <c r="Q124" s="753">
        <v>0</v>
      </c>
      <c r="R124" s="753">
        <v>0</v>
      </c>
      <c r="S124" s="753">
        <v>0</v>
      </c>
      <c r="T124" s="753">
        <v>0</v>
      </c>
      <c r="U124" s="753">
        <v>0</v>
      </c>
      <c r="V124" s="751">
        <v>2019</v>
      </c>
      <c r="W124" s="222"/>
      <c r="X124" s="186"/>
      <c r="Y124" s="178" t="str">
        <f t="shared" si="4"/>
        <v/>
      </c>
      <c r="Z124" s="178" t="str">
        <f t="shared" si="5"/>
        <v/>
      </c>
      <c r="AA124" s="44"/>
      <c r="AB124" s="65"/>
    </row>
    <row r="125" spans="1:28" hidden="1">
      <c r="A125" s="751">
        <v>1631</v>
      </c>
      <c r="B125" s="752" t="s">
        <v>35</v>
      </c>
      <c r="C125" s="751" t="s">
        <v>2960</v>
      </c>
      <c r="D125" s="752" t="s">
        <v>634</v>
      </c>
      <c r="E125" s="752" t="s">
        <v>2011</v>
      </c>
      <c r="F125" s="751">
        <v>56401</v>
      </c>
      <c r="G125" s="752" t="s">
        <v>83</v>
      </c>
      <c r="H125" s="752" t="s">
        <v>1245</v>
      </c>
      <c r="I125" s="752" t="s">
        <v>60</v>
      </c>
      <c r="J125" s="751">
        <v>22</v>
      </c>
      <c r="K125" s="751">
        <v>2</v>
      </c>
      <c r="L125" s="752" t="s">
        <v>54</v>
      </c>
      <c r="M125" s="752" t="s">
        <v>52</v>
      </c>
      <c r="N125" s="752" t="s">
        <v>78</v>
      </c>
      <c r="O125" s="752" t="s">
        <v>69</v>
      </c>
      <c r="P125" s="752" t="s">
        <v>49</v>
      </c>
      <c r="Q125" s="753">
        <v>377</v>
      </c>
      <c r="R125" s="753">
        <v>377</v>
      </c>
      <c r="S125" s="753">
        <v>2113</v>
      </c>
      <c r="T125" s="753">
        <v>2113</v>
      </c>
      <c r="U125" s="753">
        <v>139</v>
      </c>
      <c r="V125" s="751">
        <v>2019</v>
      </c>
      <c r="W125" s="222"/>
      <c r="X125" s="186">
        <f>IF(OR(K125&gt;3,T125=0,NOT(U125&gt;0)),"",T125/U125)</f>
        <v>15.201438848920864</v>
      </c>
      <c r="Y125" s="178" t="str">
        <f t="shared" si="4"/>
        <v/>
      </c>
      <c r="Z125" s="178" t="str">
        <f t="shared" si="5"/>
        <v/>
      </c>
      <c r="AA125" s="44"/>
      <c r="AB125" s="65"/>
    </row>
    <row r="126" spans="1:28" hidden="1">
      <c r="A126" s="751">
        <v>1634</v>
      </c>
      <c r="B126" s="752" t="s">
        <v>35</v>
      </c>
      <c r="C126" s="751" t="s">
        <v>2960</v>
      </c>
      <c r="D126" s="752" t="s">
        <v>635</v>
      </c>
      <c r="E126" s="752" t="s">
        <v>2452</v>
      </c>
      <c r="F126" s="751">
        <v>61350</v>
      </c>
      <c r="G126" s="752" t="s">
        <v>83</v>
      </c>
      <c r="H126" s="752" t="s">
        <v>1245</v>
      </c>
      <c r="I126" s="752" t="s">
        <v>60</v>
      </c>
      <c r="J126" s="751">
        <v>22</v>
      </c>
      <c r="K126" s="751">
        <v>2</v>
      </c>
      <c r="L126" s="752" t="s">
        <v>54</v>
      </c>
      <c r="M126" s="752" t="s">
        <v>37</v>
      </c>
      <c r="N126" s="752" t="s">
        <v>38</v>
      </c>
      <c r="O126" s="752" t="s">
        <v>39</v>
      </c>
      <c r="P126" s="752" t="s">
        <v>1238</v>
      </c>
      <c r="Q126" s="753">
        <v>0</v>
      </c>
      <c r="R126" s="753">
        <v>0</v>
      </c>
      <c r="S126" s="753">
        <v>97775</v>
      </c>
      <c r="T126" s="753">
        <v>97775</v>
      </c>
      <c r="U126" s="753">
        <v>10981</v>
      </c>
      <c r="V126" s="751">
        <v>2019</v>
      </c>
      <c r="W126" s="222"/>
      <c r="X126" s="186">
        <f>IF(OR(K126&gt;3,T126=0,NOT(U126&gt;0)),"",T126/U126)</f>
        <v>8.9040160276841824</v>
      </c>
      <c r="Y126" s="178" t="str">
        <f t="shared" si="4"/>
        <v/>
      </c>
      <c r="Z126" s="178" t="str">
        <f t="shared" si="5"/>
        <v/>
      </c>
      <c r="AA126" s="44"/>
      <c r="AB126" s="65"/>
    </row>
    <row r="127" spans="1:28" hidden="1">
      <c r="A127" s="751">
        <v>1637</v>
      </c>
      <c r="B127" s="752" t="s">
        <v>35</v>
      </c>
      <c r="C127" s="751" t="s">
        <v>2960</v>
      </c>
      <c r="D127" s="752" t="s">
        <v>636</v>
      </c>
      <c r="E127" s="752" t="s">
        <v>2452</v>
      </c>
      <c r="F127" s="751">
        <v>61350</v>
      </c>
      <c r="G127" s="752" t="s">
        <v>83</v>
      </c>
      <c r="H127" s="752" t="s">
        <v>1245</v>
      </c>
      <c r="I127" s="752" t="s">
        <v>60</v>
      </c>
      <c r="J127" s="751">
        <v>22</v>
      </c>
      <c r="K127" s="751">
        <v>2</v>
      </c>
      <c r="L127" s="752" t="s">
        <v>54</v>
      </c>
      <c r="M127" s="752" t="s">
        <v>37</v>
      </c>
      <c r="N127" s="752" t="s">
        <v>38</v>
      </c>
      <c r="O127" s="752" t="s">
        <v>39</v>
      </c>
      <c r="P127" s="752" t="s">
        <v>1238</v>
      </c>
      <c r="Q127" s="753">
        <v>0</v>
      </c>
      <c r="R127" s="753">
        <v>0</v>
      </c>
      <c r="S127" s="753">
        <v>173316</v>
      </c>
      <c r="T127" s="753">
        <v>173316</v>
      </c>
      <c r="U127" s="753">
        <v>19465</v>
      </c>
      <c r="V127" s="751">
        <v>2019</v>
      </c>
      <c r="W127" s="222"/>
      <c r="X127" s="186"/>
      <c r="Y127" s="178" t="str">
        <f t="shared" si="4"/>
        <v/>
      </c>
      <c r="Z127" s="178" t="str">
        <f t="shared" si="5"/>
        <v/>
      </c>
      <c r="AA127" s="44"/>
      <c r="AB127" s="65"/>
    </row>
    <row r="128" spans="1:28" hidden="1">
      <c r="A128" s="751">
        <v>1638</v>
      </c>
      <c r="B128" s="752" t="s">
        <v>35</v>
      </c>
      <c r="C128" s="751" t="s">
        <v>2960</v>
      </c>
      <c r="D128" s="752" t="s">
        <v>637</v>
      </c>
      <c r="E128" s="752" t="s">
        <v>2452</v>
      </c>
      <c r="F128" s="751">
        <v>61350</v>
      </c>
      <c r="G128" s="752" t="s">
        <v>83</v>
      </c>
      <c r="H128" s="752" t="s">
        <v>1245</v>
      </c>
      <c r="I128" s="752" t="s">
        <v>60</v>
      </c>
      <c r="J128" s="751">
        <v>22</v>
      </c>
      <c r="K128" s="751">
        <v>2</v>
      </c>
      <c r="L128" s="752" t="s">
        <v>54</v>
      </c>
      <c r="M128" s="752" t="s">
        <v>37</v>
      </c>
      <c r="N128" s="752" t="s">
        <v>38</v>
      </c>
      <c r="O128" s="752" t="s">
        <v>39</v>
      </c>
      <c r="P128" s="752" t="s">
        <v>1238</v>
      </c>
      <c r="Q128" s="753">
        <v>0</v>
      </c>
      <c r="R128" s="753">
        <v>0</v>
      </c>
      <c r="S128" s="753">
        <v>158920</v>
      </c>
      <c r="T128" s="753">
        <v>158920</v>
      </c>
      <c r="U128" s="753">
        <v>17848</v>
      </c>
      <c r="V128" s="751">
        <v>2019</v>
      </c>
      <c r="W128" s="222"/>
      <c r="X128" s="186"/>
      <c r="Y128" s="178" t="str">
        <f t="shared" si="4"/>
        <v/>
      </c>
      <c r="Z128" s="178" t="str">
        <f t="shared" si="5"/>
        <v/>
      </c>
      <c r="AA128" s="44"/>
      <c r="AB128" s="65"/>
    </row>
    <row r="129" spans="1:28" ht="25" hidden="1">
      <c r="A129" s="751">
        <v>1642</v>
      </c>
      <c r="B129" s="752" t="s">
        <v>35</v>
      </c>
      <c r="C129" s="751" t="s">
        <v>2960</v>
      </c>
      <c r="D129" s="752" t="s">
        <v>1925</v>
      </c>
      <c r="E129" s="752" t="s">
        <v>2011</v>
      </c>
      <c r="F129" s="751">
        <v>56401</v>
      </c>
      <c r="G129" s="752" t="s">
        <v>83</v>
      </c>
      <c r="H129" s="752" t="s">
        <v>1245</v>
      </c>
      <c r="I129" s="752" t="s">
        <v>60</v>
      </c>
      <c r="J129" s="751">
        <v>22</v>
      </c>
      <c r="K129" s="751">
        <v>2</v>
      </c>
      <c r="L129" s="752" t="s">
        <v>54</v>
      </c>
      <c r="M129" s="752" t="s">
        <v>52</v>
      </c>
      <c r="N129" s="752" t="s">
        <v>48</v>
      </c>
      <c r="O129" s="752" t="s">
        <v>48</v>
      </c>
      <c r="P129" s="752" t="s">
        <v>49</v>
      </c>
      <c r="Q129" s="753">
        <v>1747</v>
      </c>
      <c r="R129" s="753">
        <v>1747</v>
      </c>
      <c r="S129" s="753">
        <v>9959</v>
      </c>
      <c r="T129" s="753">
        <v>9959</v>
      </c>
      <c r="U129" s="753">
        <v>1424.174</v>
      </c>
      <c r="V129" s="751">
        <v>2019</v>
      </c>
      <c r="W129" s="222" t="s">
        <v>2666</v>
      </c>
      <c r="X129" s="186"/>
      <c r="Y129" s="178" t="str">
        <f t="shared" si="4"/>
        <v/>
      </c>
      <c r="Z129" s="178" t="str">
        <f t="shared" si="5"/>
        <v/>
      </c>
      <c r="AA129" s="44"/>
      <c r="AB129" s="65"/>
    </row>
    <row r="130" spans="1:28" ht="25" hidden="1">
      <c r="A130" s="751">
        <v>1642</v>
      </c>
      <c r="B130" s="752" t="s">
        <v>35</v>
      </c>
      <c r="C130" s="751" t="s">
        <v>2960</v>
      </c>
      <c r="D130" s="752" t="s">
        <v>1925</v>
      </c>
      <c r="E130" s="752" t="s">
        <v>2011</v>
      </c>
      <c r="F130" s="751">
        <v>56401</v>
      </c>
      <c r="G130" s="752" t="s">
        <v>83</v>
      </c>
      <c r="H130" s="752" t="s">
        <v>1245</v>
      </c>
      <c r="I130" s="752" t="s">
        <v>60</v>
      </c>
      <c r="J130" s="751">
        <v>22</v>
      </c>
      <c r="K130" s="751">
        <v>2</v>
      </c>
      <c r="L130" s="752" t="s">
        <v>54</v>
      </c>
      <c r="M130" s="752" t="s">
        <v>52</v>
      </c>
      <c r="N130" s="752" t="s">
        <v>78</v>
      </c>
      <c r="O130" s="752" t="s">
        <v>69</v>
      </c>
      <c r="P130" s="752" t="s">
        <v>49</v>
      </c>
      <c r="Q130" s="753">
        <v>294</v>
      </c>
      <c r="R130" s="753">
        <v>294</v>
      </c>
      <c r="S130" s="753">
        <v>1646</v>
      </c>
      <c r="T130" s="753">
        <v>1646</v>
      </c>
      <c r="U130" s="753">
        <v>235.46700000000001</v>
      </c>
      <c r="V130" s="751">
        <v>2019</v>
      </c>
      <c r="W130" s="222" t="s">
        <v>2666</v>
      </c>
      <c r="X130" s="186">
        <f t="shared" ref="X130:X150" si="7">IF(OR(K130&gt;3,T130=0,NOT(U130&gt;0)),"",T130/U130)</f>
        <v>6.9903638301757782</v>
      </c>
      <c r="Y130" s="178" t="str">
        <f t="shared" si="4"/>
        <v/>
      </c>
      <c r="Z130" s="178" t="str">
        <f t="shared" si="5"/>
        <v/>
      </c>
      <c r="AA130" s="44"/>
      <c r="AB130" s="65"/>
    </row>
    <row r="131" spans="1:28" ht="25" hidden="1">
      <c r="A131" s="751">
        <v>1642</v>
      </c>
      <c r="B131" s="752" t="s">
        <v>35</v>
      </c>
      <c r="C131" s="751" t="s">
        <v>2960</v>
      </c>
      <c r="D131" s="752" t="s">
        <v>1925</v>
      </c>
      <c r="E131" s="752" t="s">
        <v>2011</v>
      </c>
      <c r="F131" s="751">
        <v>56401</v>
      </c>
      <c r="G131" s="752" t="s">
        <v>83</v>
      </c>
      <c r="H131" s="752" t="s">
        <v>1245</v>
      </c>
      <c r="I131" s="752" t="s">
        <v>60</v>
      </c>
      <c r="J131" s="751">
        <v>22</v>
      </c>
      <c r="K131" s="751">
        <v>2</v>
      </c>
      <c r="L131" s="752" t="s">
        <v>54</v>
      </c>
      <c r="M131" s="752" t="s">
        <v>52</v>
      </c>
      <c r="N131" s="752" t="s">
        <v>41</v>
      </c>
      <c r="O131" s="752" t="s">
        <v>41</v>
      </c>
      <c r="P131" s="752" t="s">
        <v>1091</v>
      </c>
      <c r="Q131" s="753">
        <v>7748</v>
      </c>
      <c r="R131" s="753">
        <v>7748</v>
      </c>
      <c r="S131" s="753">
        <v>7980</v>
      </c>
      <c r="T131" s="753">
        <v>7980</v>
      </c>
      <c r="U131" s="753">
        <v>1141.3589999999999</v>
      </c>
      <c r="V131" s="751">
        <v>2019</v>
      </c>
      <c r="W131" s="222" t="s">
        <v>2666</v>
      </c>
      <c r="X131" s="186">
        <f t="shared" si="7"/>
        <v>6.991665199117894</v>
      </c>
      <c r="Y131" s="178" t="str">
        <f t="shared" si="4"/>
        <v/>
      </c>
      <c r="Z131" s="178" t="str">
        <f t="shared" si="5"/>
        <v/>
      </c>
      <c r="AA131" s="44"/>
      <c r="AB131" s="65"/>
    </row>
    <row r="132" spans="1:28" ht="25" hidden="1">
      <c r="A132" s="751">
        <v>1642</v>
      </c>
      <c r="B132" s="752" t="s">
        <v>35</v>
      </c>
      <c r="C132" s="751" t="s">
        <v>2960</v>
      </c>
      <c r="D132" s="752" t="s">
        <v>1925</v>
      </c>
      <c r="E132" s="752" t="s">
        <v>2011</v>
      </c>
      <c r="F132" s="751">
        <v>56401</v>
      </c>
      <c r="G132" s="752" t="s">
        <v>83</v>
      </c>
      <c r="H132" s="752" t="s">
        <v>1245</v>
      </c>
      <c r="I132" s="752" t="s">
        <v>60</v>
      </c>
      <c r="J132" s="751">
        <v>22</v>
      </c>
      <c r="K132" s="751">
        <v>2</v>
      </c>
      <c r="L132" s="752" t="s">
        <v>54</v>
      </c>
      <c r="M132" s="752" t="s">
        <v>44</v>
      </c>
      <c r="N132" s="752" t="s">
        <v>41</v>
      </c>
      <c r="O132" s="752" t="s">
        <v>41</v>
      </c>
      <c r="P132" s="752" t="s">
        <v>1091</v>
      </c>
      <c r="Q132" s="753">
        <v>5846</v>
      </c>
      <c r="R132" s="753">
        <v>5846</v>
      </c>
      <c r="S132" s="753">
        <v>6039</v>
      </c>
      <c r="T132" s="753">
        <v>6039</v>
      </c>
      <c r="U132" s="753">
        <v>462</v>
      </c>
      <c r="V132" s="751">
        <v>2019</v>
      </c>
      <c r="W132" s="222" t="s">
        <v>2666</v>
      </c>
      <c r="X132" s="186">
        <f t="shared" si="7"/>
        <v>13.071428571428571</v>
      </c>
      <c r="Y132" s="178" t="str">
        <f t="shared" si="4"/>
        <v/>
      </c>
      <c r="Z132" s="178" t="str">
        <f t="shared" si="5"/>
        <v/>
      </c>
      <c r="AA132" s="44"/>
      <c r="AB132" s="65"/>
    </row>
    <row r="133" spans="1:28" ht="25" hidden="1">
      <c r="A133" s="751">
        <v>1642</v>
      </c>
      <c r="B133" s="752" t="s">
        <v>35</v>
      </c>
      <c r="C133" s="751" t="s">
        <v>2960</v>
      </c>
      <c r="D133" s="752" t="s">
        <v>1925</v>
      </c>
      <c r="E133" s="752" t="s">
        <v>2011</v>
      </c>
      <c r="F133" s="751">
        <v>56401</v>
      </c>
      <c r="G133" s="752" t="s">
        <v>83</v>
      </c>
      <c r="H133" s="752" t="s">
        <v>1245</v>
      </c>
      <c r="I133" s="752" t="s">
        <v>60</v>
      </c>
      <c r="J133" s="751">
        <v>22</v>
      </c>
      <c r="K133" s="751">
        <v>2</v>
      </c>
      <c r="L133" s="752" t="s">
        <v>54</v>
      </c>
      <c r="M133" s="752" t="s">
        <v>44</v>
      </c>
      <c r="N133" s="752" t="s">
        <v>63</v>
      </c>
      <c r="O133" s="752" t="s">
        <v>63</v>
      </c>
      <c r="P133" s="752" t="s">
        <v>49</v>
      </c>
      <c r="Q133" s="753">
        <v>0</v>
      </c>
      <c r="R133" s="753">
        <v>0</v>
      </c>
      <c r="S133" s="753">
        <v>0</v>
      </c>
      <c r="T133" s="753">
        <v>0</v>
      </c>
      <c r="U133" s="753">
        <v>0</v>
      </c>
      <c r="V133" s="751">
        <v>2019</v>
      </c>
      <c r="W133" s="222" t="s">
        <v>2666</v>
      </c>
      <c r="X133" s="186" t="str">
        <f t="shared" si="7"/>
        <v/>
      </c>
      <c r="Y133" s="178" t="str">
        <f t="shared" si="4"/>
        <v/>
      </c>
      <c r="Z133" s="178" t="str">
        <f t="shared" si="5"/>
        <v/>
      </c>
      <c r="AA133" s="44"/>
      <c r="AB133" s="65"/>
    </row>
    <row r="134" spans="1:28" hidden="1">
      <c r="A134" s="751">
        <v>1643</v>
      </c>
      <c r="B134" s="752" t="s">
        <v>35</v>
      </c>
      <c r="C134" s="751" t="s">
        <v>2960</v>
      </c>
      <c r="D134" s="752" t="s">
        <v>638</v>
      </c>
      <c r="E134" s="752" t="s">
        <v>2011</v>
      </c>
      <c r="F134" s="751">
        <v>56401</v>
      </c>
      <c r="G134" s="752" t="s">
        <v>83</v>
      </c>
      <c r="H134" s="752" t="s">
        <v>1245</v>
      </c>
      <c r="I134" s="752" t="s">
        <v>60</v>
      </c>
      <c r="J134" s="751">
        <v>22</v>
      </c>
      <c r="K134" s="751">
        <v>2</v>
      </c>
      <c r="L134" s="752" t="s">
        <v>54</v>
      </c>
      <c r="M134" s="752" t="s">
        <v>52</v>
      </c>
      <c r="N134" s="752" t="s">
        <v>48</v>
      </c>
      <c r="O134" s="752" t="s">
        <v>48</v>
      </c>
      <c r="P134" s="752" t="s">
        <v>49</v>
      </c>
      <c r="Q134" s="753">
        <v>0</v>
      </c>
      <c r="R134" s="753">
        <v>0</v>
      </c>
      <c r="S134" s="753">
        <v>0</v>
      </c>
      <c r="T134" s="753">
        <v>0</v>
      </c>
      <c r="U134" s="753">
        <v>0</v>
      </c>
      <c r="V134" s="751">
        <v>2019</v>
      </c>
      <c r="W134" s="222"/>
      <c r="X134" s="186" t="str">
        <f t="shared" si="7"/>
        <v/>
      </c>
      <c r="Y134" s="178" t="str">
        <f t="shared" si="4"/>
        <v/>
      </c>
      <c r="Z134" s="178" t="str">
        <f t="shared" si="5"/>
        <v/>
      </c>
      <c r="AA134" s="44"/>
      <c r="AB134" s="65"/>
    </row>
    <row r="135" spans="1:28" hidden="1">
      <c r="A135" s="751">
        <v>1643</v>
      </c>
      <c r="B135" s="752" t="s">
        <v>35</v>
      </c>
      <c r="C135" s="751" t="s">
        <v>2960</v>
      </c>
      <c r="D135" s="752" t="s">
        <v>638</v>
      </c>
      <c r="E135" s="752" t="s">
        <v>2011</v>
      </c>
      <c r="F135" s="751">
        <v>56401</v>
      </c>
      <c r="G135" s="752" t="s">
        <v>83</v>
      </c>
      <c r="H135" s="752" t="s">
        <v>1245</v>
      </c>
      <c r="I135" s="752" t="s">
        <v>60</v>
      </c>
      <c r="J135" s="751">
        <v>22</v>
      </c>
      <c r="K135" s="751">
        <v>2</v>
      </c>
      <c r="L135" s="752" t="s">
        <v>54</v>
      </c>
      <c r="M135" s="752" t="s">
        <v>52</v>
      </c>
      <c r="N135" s="752" t="s">
        <v>68</v>
      </c>
      <c r="O135" s="752" t="s">
        <v>69</v>
      </c>
      <c r="P135" s="752" t="s">
        <v>49</v>
      </c>
      <c r="Q135" s="753">
        <v>0</v>
      </c>
      <c r="R135" s="753">
        <v>0</v>
      </c>
      <c r="S135" s="753">
        <v>0</v>
      </c>
      <c r="T135" s="753">
        <v>0</v>
      </c>
      <c r="U135" s="753">
        <v>0</v>
      </c>
      <c r="V135" s="751">
        <v>2019</v>
      </c>
      <c r="W135" s="222"/>
      <c r="X135" s="186" t="str">
        <f t="shared" si="7"/>
        <v/>
      </c>
      <c r="Y135" s="178" t="str">
        <f t="shared" ref="Y135:Y198" si="8">IF(AND($M135=$Y$2,$N135=$Y$3,NOT($Q135=$R135),NOT($U135=0)),IF($K135=5,$S135/($U135+(8/5)*$U135),IF($K135=7,$S135/($U135+(29/25)*$U135),"")),"")</f>
        <v/>
      </c>
      <c r="Z135" s="178" t="str">
        <f t="shared" ref="Z135:Z198" si="9">IF(AND($M135=$Y$2,$N135=$Y$4,NOT($Q135=$R135),NOT($U135=0)),IF($K135=5,$S135/($U135+(8/5)*$U135),IF($K135=7,$S135/($U135+(29/25)*$U135),"")),"")</f>
        <v/>
      </c>
      <c r="AA135" s="44"/>
      <c r="AB135" s="65"/>
    </row>
    <row r="136" spans="1:28" hidden="1">
      <c r="A136" s="751">
        <v>1643</v>
      </c>
      <c r="B136" s="752" t="s">
        <v>35</v>
      </c>
      <c r="C136" s="751" t="s">
        <v>2960</v>
      </c>
      <c r="D136" s="752" t="s">
        <v>638</v>
      </c>
      <c r="E136" s="752" t="s">
        <v>2011</v>
      </c>
      <c r="F136" s="751">
        <v>56401</v>
      </c>
      <c r="G136" s="752" t="s">
        <v>83</v>
      </c>
      <c r="H136" s="752" t="s">
        <v>1245</v>
      </c>
      <c r="I136" s="752" t="s">
        <v>60</v>
      </c>
      <c r="J136" s="751">
        <v>22</v>
      </c>
      <c r="K136" s="751">
        <v>2</v>
      </c>
      <c r="L136" s="752" t="s">
        <v>54</v>
      </c>
      <c r="M136" s="752" t="s">
        <v>52</v>
      </c>
      <c r="N136" s="752" t="s">
        <v>78</v>
      </c>
      <c r="O136" s="752" t="s">
        <v>69</v>
      </c>
      <c r="P136" s="752" t="s">
        <v>49</v>
      </c>
      <c r="Q136" s="753">
        <v>121</v>
      </c>
      <c r="R136" s="753">
        <v>121</v>
      </c>
      <c r="S136" s="753">
        <v>678</v>
      </c>
      <c r="T136" s="753">
        <v>678</v>
      </c>
      <c r="U136" s="753">
        <v>121</v>
      </c>
      <c r="V136" s="751">
        <v>2019</v>
      </c>
      <c r="W136" s="222"/>
      <c r="X136" s="186">
        <f t="shared" si="7"/>
        <v>5.6033057851239674</v>
      </c>
      <c r="Y136" s="178" t="str">
        <f t="shared" si="8"/>
        <v/>
      </c>
      <c r="Z136" s="178" t="str">
        <f t="shared" si="9"/>
        <v/>
      </c>
      <c r="AA136" s="44"/>
      <c r="AB136" s="65"/>
    </row>
    <row r="137" spans="1:28" hidden="1">
      <c r="A137" s="751">
        <v>1660</v>
      </c>
      <c r="B137" s="752" t="s">
        <v>35</v>
      </c>
      <c r="C137" s="751" t="s">
        <v>2960</v>
      </c>
      <c r="D137" s="752" t="s">
        <v>14</v>
      </c>
      <c r="E137" s="752" t="s">
        <v>1158</v>
      </c>
      <c r="F137" s="751">
        <v>2144</v>
      </c>
      <c r="G137" s="752" t="s">
        <v>83</v>
      </c>
      <c r="H137" s="752" t="s">
        <v>1245</v>
      </c>
      <c r="I137" s="752" t="s">
        <v>60</v>
      </c>
      <c r="J137" s="751">
        <v>22</v>
      </c>
      <c r="K137" s="751">
        <v>1</v>
      </c>
      <c r="L137" s="752" t="s">
        <v>36</v>
      </c>
      <c r="M137" s="752" t="s">
        <v>40</v>
      </c>
      <c r="N137" s="752" t="s">
        <v>48</v>
      </c>
      <c r="O137" s="752" t="s">
        <v>48</v>
      </c>
      <c r="P137" s="752" t="s">
        <v>49</v>
      </c>
      <c r="Q137" s="753">
        <v>0</v>
      </c>
      <c r="R137" s="753">
        <v>0</v>
      </c>
      <c r="S137" s="753">
        <v>0</v>
      </c>
      <c r="T137" s="753">
        <v>0</v>
      </c>
      <c r="U137" s="753">
        <v>0</v>
      </c>
      <c r="V137" s="751">
        <v>2019</v>
      </c>
      <c r="W137" s="222" t="s">
        <v>2666</v>
      </c>
      <c r="X137" s="186" t="str">
        <f t="shared" si="7"/>
        <v/>
      </c>
      <c r="Y137" s="178" t="str">
        <f t="shared" si="8"/>
        <v/>
      </c>
      <c r="Z137" s="178" t="str">
        <f t="shared" si="9"/>
        <v/>
      </c>
      <c r="AA137" s="44"/>
      <c r="AB137" s="65"/>
    </row>
    <row r="138" spans="1:28" hidden="1">
      <c r="A138" s="751">
        <v>1660</v>
      </c>
      <c r="B138" s="752" t="s">
        <v>35</v>
      </c>
      <c r="C138" s="751" t="s">
        <v>2960</v>
      </c>
      <c r="D138" s="752" t="s">
        <v>14</v>
      </c>
      <c r="E138" s="752" t="s">
        <v>1158</v>
      </c>
      <c r="F138" s="751">
        <v>2144</v>
      </c>
      <c r="G138" s="752" t="s">
        <v>83</v>
      </c>
      <c r="H138" s="752" t="s">
        <v>1245</v>
      </c>
      <c r="I138" s="752" t="s">
        <v>60</v>
      </c>
      <c r="J138" s="751">
        <v>22</v>
      </c>
      <c r="K138" s="751">
        <v>1</v>
      </c>
      <c r="L138" s="752" t="s">
        <v>36</v>
      </c>
      <c r="M138" s="752" t="s">
        <v>40</v>
      </c>
      <c r="N138" s="752" t="s">
        <v>41</v>
      </c>
      <c r="O138" s="752" t="s">
        <v>41</v>
      </c>
      <c r="P138" s="752" t="s">
        <v>1091</v>
      </c>
      <c r="Q138" s="753">
        <v>0</v>
      </c>
      <c r="R138" s="753">
        <v>0</v>
      </c>
      <c r="S138" s="753">
        <v>0</v>
      </c>
      <c r="T138" s="753">
        <v>0</v>
      </c>
      <c r="U138" s="753">
        <v>357</v>
      </c>
      <c r="V138" s="751">
        <v>2019</v>
      </c>
      <c r="W138" s="222" t="s">
        <v>2666</v>
      </c>
      <c r="X138" s="186" t="str">
        <f t="shared" si="7"/>
        <v/>
      </c>
      <c r="Y138" s="178" t="str">
        <f t="shared" si="8"/>
        <v/>
      </c>
      <c r="Z138" s="178" t="str">
        <f t="shared" si="9"/>
        <v/>
      </c>
      <c r="AA138" s="44"/>
      <c r="AB138" s="65"/>
    </row>
    <row r="139" spans="1:28" hidden="1">
      <c r="A139" s="751">
        <v>1660</v>
      </c>
      <c r="B139" s="752" t="s">
        <v>35</v>
      </c>
      <c r="C139" s="751" t="s">
        <v>2960</v>
      </c>
      <c r="D139" s="752" t="s">
        <v>14</v>
      </c>
      <c r="E139" s="752" t="s">
        <v>1158</v>
      </c>
      <c r="F139" s="751">
        <v>2144</v>
      </c>
      <c r="G139" s="752" t="s">
        <v>83</v>
      </c>
      <c r="H139" s="752" t="s">
        <v>1245</v>
      </c>
      <c r="I139" s="752" t="s">
        <v>60</v>
      </c>
      <c r="J139" s="751">
        <v>22</v>
      </c>
      <c r="K139" s="751">
        <v>1</v>
      </c>
      <c r="L139" s="752" t="s">
        <v>36</v>
      </c>
      <c r="M139" s="752" t="s">
        <v>43</v>
      </c>
      <c r="N139" s="752" t="s">
        <v>48</v>
      </c>
      <c r="O139" s="752" t="s">
        <v>48</v>
      </c>
      <c r="P139" s="752" t="s">
        <v>49</v>
      </c>
      <c r="Q139" s="753">
        <v>0</v>
      </c>
      <c r="R139" s="753">
        <v>0</v>
      </c>
      <c r="S139" s="753">
        <v>0</v>
      </c>
      <c r="T139" s="753">
        <v>0</v>
      </c>
      <c r="U139" s="753">
        <v>0</v>
      </c>
      <c r="V139" s="751">
        <v>2019</v>
      </c>
      <c r="W139" s="222" t="s">
        <v>2666</v>
      </c>
      <c r="X139" s="186" t="str">
        <f t="shared" si="7"/>
        <v/>
      </c>
      <c r="Y139" s="178" t="str">
        <f t="shared" si="8"/>
        <v/>
      </c>
      <c r="Z139" s="178" t="str">
        <f t="shared" si="9"/>
        <v/>
      </c>
      <c r="AA139" s="44"/>
      <c r="AB139" s="65"/>
    </row>
    <row r="140" spans="1:28" hidden="1">
      <c r="A140" s="751">
        <v>1660</v>
      </c>
      <c r="B140" s="752" t="s">
        <v>35</v>
      </c>
      <c r="C140" s="751" t="s">
        <v>2960</v>
      </c>
      <c r="D140" s="752" t="s">
        <v>14</v>
      </c>
      <c r="E140" s="752" t="s">
        <v>1158</v>
      </c>
      <c r="F140" s="751">
        <v>2144</v>
      </c>
      <c r="G140" s="752" t="s">
        <v>83</v>
      </c>
      <c r="H140" s="752" t="s">
        <v>1245</v>
      </c>
      <c r="I140" s="752" t="s">
        <v>60</v>
      </c>
      <c r="J140" s="751">
        <v>22</v>
      </c>
      <c r="K140" s="751">
        <v>1</v>
      </c>
      <c r="L140" s="752" t="s">
        <v>36</v>
      </c>
      <c r="M140" s="752" t="s">
        <v>43</v>
      </c>
      <c r="N140" s="752" t="s">
        <v>41</v>
      </c>
      <c r="O140" s="752" t="s">
        <v>41</v>
      </c>
      <c r="P140" s="752" t="s">
        <v>1091</v>
      </c>
      <c r="Q140" s="753">
        <v>50720</v>
      </c>
      <c r="R140" s="753">
        <v>50720</v>
      </c>
      <c r="S140" s="753">
        <v>52312</v>
      </c>
      <c r="T140" s="753">
        <v>52312</v>
      </c>
      <c r="U140" s="753">
        <v>3592</v>
      </c>
      <c r="V140" s="751">
        <v>2019</v>
      </c>
      <c r="W140" s="222" t="s">
        <v>2666</v>
      </c>
      <c r="X140" s="186">
        <f t="shared" si="7"/>
        <v>14.56347438752784</v>
      </c>
      <c r="Y140" s="178" t="str">
        <f t="shared" si="8"/>
        <v/>
      </c>
      <c r="Z140" s="178" t="str">
        <f t="shared" si="9"/>
        <v/>
      </c>
      <c r="AA140" s="44"/>
      <c r="AB140" s="65"/>
    </row>
    <row r="141" spans="1:28" hidden="1">
      <c r="A141" s="751">
        <v>1660</v>
      </c>
      <c r="B141" s="752" t="s">
        <v>35</v>
      </c>
      <c r="C141" s="751" t="s">
        <v>2960</v>
      </c>
      <c r="D141" s="752" t="s">
        <v>14</v>
      </c>
      <c r="E141" s="752" t="s">
        <v>1158</v>
      </c>
      <c r="F141" s="751">
        <v>2144</v>
      </c>
      <c r="G141" s="752" t="s">
        <v>83</v>
      </c>
      <c r="H141" s="752" t="s">
        <v>1245</v>
      </c>
      <c r="I141" s="752" t="s">
        <v>60</v>
      </c>
      <c r="J141" s="751">
        <v>22</v>
      </c>
      <c r="K141" s="751">
        <v>1</v>
      </c>
      <c r="L141" s="752" t="s">
        <v>36</v>
      </c>
      <c r="M141" s="752" t="s">
        <v>52</v>
      </c>
      <c r="N141" s="752" t="s">
        <v>48</v>
      </c>
      <c r="O141" s="752" t="s">
        <v>48</v>
      </c>
      <c r="P141" s="752" t="s">
        <v>49</v>
      </c>
      <c r="Q141" s="753">
        <v>2511</v>
      </c>
      <c r="R141" s="753">
        <v>2511</v>
      </c>
      <c r="S141" s="753">
        <v>14478</v>
      </c>
      <c r="T141" s="753">
        <v>14478</v>
      </c>
      <c r="U141" s="753">
        <v>1428.3040000000001</v>
      </c>
      <c r="V141" s="751">
        <v>2019</v>
      </c>
      <c r="W141" s="222" t="s">
        <v>2666</v>
      </c>
      <c r="X141" s="186">
        <f t="shared" si="7"/>
        <v>10.136497552341798</v>
      </c>
      <c r="Y141" s="178" t="str">
        <f t="shared" si="8"/>
        <v/>
      </c>
      <c r="Z141" s="178" t="str">
        <f t="shared" si="9"/>
        <v/>
      </c>
      <c r="AA141" s="44"/>
      <c r="AB141" s="65"/>
    </row>
    <row r="142" spans="1:28" hidden="1">
      <c r="A142" s="751">
        <v>1660</v>
      </c>
      <c r="B142" s="752" t="s">
        <v>35</v>
      </c>
      <c r="C142" s="751" t="s">
        <v>2960</v>
      </c>
      <c r="D142" s="752" t="s">
        <v>14</v>
      </c>
      <c r="E142" s="752" t="s">
        <v>1158</v>
      </c>
      <c r="F142" s="751">
        <v>2144</v>
      </c>
      <c r="G142" s="752" t="s">
        <v>83</v>
      </c>
      <c r="H142" s="752" t="s">
        <v>1245</v>
      </c>
      <c r="I142" s="752" t="s">
        <v>60</v>
      </c>
      <c r="J142" s="751">
        <v>22</v>
      </c>
      <c r="K142" s="751">
        <v>1</v>
      </c>
      <c r="L142" s="752" t="s">
        <v>36</v>
      </c>
      <c r="M142" s="752" t="s">
        <v>52</v>
      </c>
      <c r="N142" s="752" t="s">
        <v>41</v>
      </c>
      <c r="O142" s="752" t="s">
        <v>41</v>
      </c>
      <c r="P142" s="752" t="s">
        <v>1091</v>
      </c>
      <c r="Q142" s="753">
        <v>94085</v>
      </c>
      <c r="R142" s="753">
        <v>94085</v>
      </c>
      <c r="S142" s="753">
        <v>96815</v>
      </c>
      <c r="T142" s="753">
        <v>96815</v>
      </c>
      <c r="U142" s="753">
        <v>9550.6959999999999</v>
      </c>
      <c r="V142" s="751">
        <v>2019</v>
      </c>
      <c r="W142" s="222" t="s">
        <v>2666</v>
      </c>
      <c r="X142" s="186">
        <f t="shared" si="7"/>
        <v>10.136957557857563</v>
      </c>
      <c r="Y142" s="178" t="str">
        <f t="shared" si="8"/>
        <v/>
      </c>
      <c r="Z142" s="178" t="str">
        <f t="shared" si="9"/>
        <v/>
      </c>
      <c r="AA142" s="44"/>
      <c r="AB142" s="65"/>
    </row>
    <row r="143" spans="1:28" hidden="1">
      <c r="A143" s="751">
        <v>1660</v>
      </c>
      <c r="B143" s="752" t="s">
        <v>35</v>
      </c>
      <c r="C143" s="751" t="s">
        <v>2960</v>
      </c>
      <c r="D143" s="752" t="s">
        <v>14</v>
      </c>
      <c r="E143" s="752" t="s">
        <v>1158</v>
      </c>
      <c r="F143" s="751">
        <v>2144</v>
      </c>
      <c r="G143" s="752" t="s">
        <v>83</v>
      </c>
      <c r="H143" s="752" t="s">
        <v>1245</v>
      </c>
      <c r="I143" s="752" t="s">
        <v>60</v>
      </c>
      <c r="J143" s="751">
        <v>22</v>
      </c>
      <c r="K143" s="751">
        <v>1</v>
      </c>
      <c r="L143" s="752" t="s">
        <v>36</v>
      </c>
      <c r="M143" s="752" t="s">
        <v>53</v>
      </c>
      <c r="N143" s="752" t="s">
        <v>48</v>
      </c>
      <c r="O143" s="752" t="s">
        <v>48</v>
      </c>
      <c r="P143" s="752" t="s">
        <v>49</v>
      </c>
      <c r="Q143" s="753">
        <v>0</v>
      </c>
      <c r="R143" s="753">
        <v>0</v>
      </c>
      <c r="S143" s="753">
        <v>0</v>
      </c>
      <c r="T143" s="753">
        <v>0</v>
      </c>
      <c r="U143" s="753">
        <v>0</v>
      </c>
      <c r="V143" s="751">
        <v>2019</v>
      </c>
      <c r="W143" s="222"/>
      <c r="X143" s="186" t="str">
        <f t="shared" si="7"/>
        <v/>
      </c>
      <c r="Y143" s="178" t="str">
        <f t="shared" si="8"/>
        <v/>
      </c>
      <c r="Z143" s="178" t="str">
        <f t="shared" si="9"/>
        <v/>
      </c>
      <c r="AA143" s="44"/>
      <c r="AB143" s="65"/>
    </row>
    <row r="144" spans="1:28" s="154" customFormat="1" hidden="1">
      <c r="A144" s="751">
        <v>1670</v>
      </c>
      <c r="B144" s="752" t="s">
        <v>35</v>
      </c>
      <c r="C144" s="751" t="s">
        <v>2960</v>
      </c>
      <c r="D144" s="752" t="s">
        <v>639</v>
      </c>
      <c r="E144" s="752" t="s">
        <v>1251</v>
      </c>
      <c r="F144" s="751">
        <v>9442</v>
      </c>
      <c r="G144" s="752" t="s">
        <v>83</v>
      </c>
      <c r="H144" s="752" t="s">
        <v>1245</v>
      </c>
      <c r="I144" s="752" t="s">
        <v>60</v>
      </c>
      <c r="J144" s="751">
        <v>22</v>
      </c>
      <c r="K144" s="751">
        <v>1</v>
      </c>
      <c r="L144" s="752" t="s">
        <v>36</v>
      </c>
      <c r="M144" s="752" t="s">
        <v>53</v>
      </c>
      <c r="N144" s="752" t="s">
        <v>48</v>
      </c>
      <c r="O144" s="752" t="s">
        <v>48</v>
      </c>
      <c r="P144" s="752" t="s">
        <v>49</v>
      </c>
      <c r="Q144" s="753">
        <v>7</v>
      </c>
      <c r="R144" s="753">
        <v>7</v>
      </c>
      <c r="S144" s="753">
        <v>42</v>
      </c>
      <c r="T144" s="753">
        <v>42</v>
      </c>
      <c r="U144" s="753">
        <v>-50.45</v>
      </c>
      <c r="V144" s="751">
        <v>2019</v>
      </c>
      <c r="W144" s="222"/>
      <c r="X144" s="186" t="str">
        <f t="shared" si="7"/>
        <v/>
      </c>
      <c r="Y144" s="178" t="str">
        <f t="shared" si="8"/>
        <v/>
      </c>
      <c r="Z144" s="178" t="str">
        <f t="shared" si="9"/>
        <v/>
      </c>
      <c r="AA144" s="44"/>
      <c r="AB144" s="179"/>
    </row>
    <row r="145" spans="1:28" hidden="1">
      <c r="A145" s="751">
        <v>1670</v>
      </c>
      <c r="B145" s="752" t="s">
        <v>35</v>
      </c>
      <c r="C145" s="751" t="s">
        <v>2960</v>
      </c>
      <c r="D145" s="752" t="s">
        <v>639</v>
      </c>
      <c r="E145" s="752" t="s">
        <v>1251</v>
      </c>
      <c r="F145" s="751">
        <v>9442</v>
      </c>
      <c r="G145" s="752" t="s">
        <v>83</v>
      </c>
      <c r="H145" s="752" t="s">
        <v>1245</v>
      </c>
      <c r="I145" s="752" t="s">
        <v>60</v>
      </c>
      <c r="J145" s="751">
        <v>22</v>
      </c>
      <c r="K145" s="751">
        <v>1</v>
      </c>
      <c r="L145" s="752" t="s">
        <v>36</v>
      </c>
      <c r="M145" s="752" t="s">
        <v>53</v>
      </c>
      <c r="N145" s="752" t="s">
        <v>41</v>
      </c>
      <c r="O145" s="752" t="s">
        <v>41</v>
      </c>
      <c r="P145" s="752" t="s">
        <v>1091</v>
      </c>
      <c r="Q145" s="753">
        <v>102</v>
      </c>
      <c r="R145" s="753">
        <v>102</v>
      </c>
      <c r="S145" s="753">
        <v>102</v>
      </c>
      <c r="T145" s="753">
        <v>102</v>
      </c>
      <c r="U145" s="753">
        <v>-130.55000000000001</v>
      </c>
      <c r="V145" s="751">
        <v>2019</v>
      </c>
      <c r="W145" s="222"/>
      <c r="X145" s="186" t="str">
        <f t="shared" si="7"/>
        <v/>
      </c>
      <c r="Y145" s="178" t="str">
        <f t="shared" si="8"/>
        <v/>
      </c>
      <c r="Z145" s="178" t="str">
        <f t="shared" si="9"/>
        <v/>
      </c>
      <c r="AA145" s="44"/>
      <c r="AB145" s="65"/>
    </row>
    <row r="146" spans="1:28" hidden="1">
      <c r="A146" s="751">
        <v>1678</v>
      </c>
      <c r="B146" s="752" t="s">
        <v>35</v>
      </c>
      <c r="C146" s="751" t="s">
        <v>2960</v>
      </c>
      <c r="D146" s="752" t="s">
        <v>15</v>
      </c>
      <c r="E146" s="752" t="s">
        <v>1097</v>
      </c>
      <c r="F146" s="751">
        <v>14605</v>
      </c>
      <c r="G146" s="752" t="s">
        <v>83</v>
      </c>
      <c r="H146" s="752" t="s">
        <v>1245</v>
      </c>
      <c r="I146" s="752" t="s">
        <v>60</v>
      </c>
      <c r="J146" s="751">
        <v>22</v>
      </c>
      <c r="K146" s="751">
        <v>1</v>
      </c>
      <c r="L146" s="752" t="s">
        <v>36</v>
      </c>
      <c r="M146" s="752" t="s">
        <v>52</v>
      </c>
      <c r="N146" s="752" t="s">
        <v>48</v>
      </c>
      <c r="O146" s="752" t="s">
        <v>48</v>
      </c>
      <c r="P146" s="752" t="s">
        <v>49</v>
      </c>
      <c r="Q146" s="753">
        <v>964</v>
      </c>
      <c r="R146" s="753">
        <v>964</v>
      </c>
      <c r="S146" s="753">
        <v>5615</v>
      </c>
      <c r="T146" s="753">
        <v>5615</v>
      </c>
      <c r="U146" s="753">
        <v>436.98899999999998</v>
      </c>
      <c r="V146" s="751">
        <v>2019</v>
      </c>
      <c r="W146" s="222"/>
      <c r="X146" s="186">
        <f t="shared" si="7"/>
        <v>12.849293689314834</v>
      </c>
      <c r="Y146" s="178" t="str">
        <f t="shared" si="8"/>
        <v/>
      </c>
      <c r="Z146" s="178" t="str">
        <f t="shared" si="9"/>
        <v/>
      </c>
      <c r="AA146" s="44"/>
      <c r="AB146" s="65"/>
    </row>
    <row r="147" spans="1:28" hidden="1">
      <c r="A147" s="751">
        <v>1678</v>
      </c>
      <c r="B147" s="752" t="s">
        <v>35</v>
      </c>
      <c r="C147" s="751" t="s">
        <v>2960</v>
      </c>
      <c r="D147" s="752" t="s">
        <v>15</v>
      </c>
      <c r="E147" s="752" t="s">
        <v>1097</v>
      </c>
      <c r="F147" s="751">
        <v>14605</v>
      </c>
      <c r="G147" s="752" t="s">
        <v>83</v>
      </c>
      <c r="H147" s="752" t="s">
        <v>1245</v>
      </c>
      <c r="I147" s="752" t="s">
        <v>60</v>
      </c>
      <c r="J147" s="751">
        <v>22</v>
      </c>
      <c r="K147" s="751">
        <v>1</v>
      </c>
      <c r="L147" s="752" t="s">
        <v>36</v>
      </c>
      <c r="M147" s="752" t="s">
        <v>52</v>
      </c>
      <c r="N147" s="752" t="s">
        <v>41</v>
      </c>
      <c r="O147" s="752" t="s">
        <v>41</v>
      </c>
      <c r="P147" s="752" t="s">
        <v>1091</v>
      </c>
      <c r="Q147" s="753">
        <v>21679</v>
      </c>
      <c r="R147" s="753">
        <v>21679</v>
      </c>
      <c r="S147" s="753">
        <v>22306</v>
      </c>
      <c r="T147" s="753">
        <v>22306</v>
      </c>
      <c r="U147" s="753">
        <v>1736.011</v>
      </c>
      <c r="V147" s="751">
        <v>2019</v>
      </c>
      <c r="W147" s="222"/>
      <c r="X147" s="186">
        <f t="shared" si="7"/>
        <v>12.848996924558659</v>
      </c>
      <c r="Y147" s="178" t="str">
        <f t="shared" si="8"/>
        <v/>
      </c>
      <c r="Z147" s="178" t="str">
        <f t="shared" si="9"/>
        <v/>
      </c>
      <c r="AA147" s="44"/>
      <c r="AB147" s="65"/>
    </row>
    <row r="148" spans="1:28" hidden="1">
      <c r="A148" s="751">
        <v>1682</v>
      </c>
      <c r="B148" s="752" t="s">
        <v>35</v>
      </c>
      <c r="C148" s="751" t="s">
        <v>2960</v>
      </c>
      <c r="D148" s="752" t="s">
        <v>2966</v>
      </c>
      <c r="E148" s="752" t="s">
        <v>17</v>
      </c>
      <c r="F148" s="751">
        <v>18488</v>
      </c>
      <c r="G148" s="752" t="s">
        <v>83</v>
      </c>
      <c r="H148" s="752" t="s">
        <v>1245</v>
      </c>
      <c r="I148" s="752" t="s">
        <v>60</v>
      </c>
      <c r="J148" s="751">
        <v>22</v>
      </c>
      <c r="K148" s="751">
        <v>1</v>
      </c>
      <c r="L148" s="752" t="s">
        <v>36</v>
      </c>
      <c r="M148" s="752" t="s">
        <v>40</v>
      </c>
      <c r="N148" s="752" t="s">
        <v>48</v>
      </c>
      <c r="O148" s="752" t="s">
        <v>48</v>
      </c>
      <c r="P148" s="752" t="s">
        <v>49</v>
      </c>
      <c r="Q148" s="753">
        <v>1003</v>
      </c>
      <c r="R148" s="753">
        <v>1003</v>
      </c>
      <c r="S148" s="753">
        <v>5780</v>
      </c>
      <c r="T148" s="753">
        <v>5780</v>
      </c>
      <c r="U148" s="753">
        <v>593.43499999999995</v>
      </c>
      <c r="V148" s="751">
        <v>2019</v>
      </c>
      <c r="W148" s="222" t="s">
        <v>2666</v>
      </c>
      <c r="X148" s="186">
        <f t="shared" si="7"/>
        <v>9.7399041175528929</v>
      </c>
      <c r="Y148" s="178" t="str">
        <f t="shared" si="8"/>
        <v/>
      </c>
      <c r="Z148" s="178" t="str">
        <f t="shared" si="9"/>
        <v/>
      </c>
      <c r="AA148" s="44"/>
      <c r="AB148" s="65"/>
    </row>
    <row r="149" spans="1:28" hidden="1">
      <c r="A149" s="751">
        <v>1682</v>
      </c>
      <c r="B149" s="752" t="s">
        <v>35</v>
      </c>
      <c r="C149" s="751" t="s">
        <v>2960</v>
      </c>
      <c r="D149" s="752" t="s">
        <v>2966</v>
      </c>
      <c r="E149" s="752" t="s">
        <v>17</v>
      </c>
      <c r="F149" s="751">
        <v>18488</v>
      </c>
      <c r="G149" s="752" t="s">
        <v>83</v>
      </c>
      <c r="H149" s="752" t="s">
        <v>1245</v>
      </c>
      <c r="I149" s="752" t="s">
        <v>60</v>
      </c>
      <c r="J149" s="751">
        <v>22</v>
      </c>
      <c r="K149" s="751">
        <v>1</v>
      </c>
      <c r="L149" s="752" t="s">
        <v>36</v>
      </c>
      <c r="M149" s="752" t="s">
        <v>40</v>
      </c>
      <c r="N149" s="752" t="s">
        <v>41</v>
      </c>
      <c r="O149" s="752" t="s">
        <v>41</v>
      </c>
      <c r="P149" s="752" t="s">
        <v>1091</v>
      </c>
      <c r="Q149" s="753">
        <v>217930</v>
      </c>
      <c r="R149" s="753">
        <v>217930</v>
      </c>
      <c r="S149" s="753">
        <v>223710</v>
      </c>
      <c r="T149" s="753">
        <v>223710</v>
      </c>
      <c r="U149" s="753">
        <v>24442.564999999999</v>
      </c>
      <c r="V149" s="751">
        <v>2019</v>
      </c>
      <c r="W149" s="222" t="s">
        <v>2666</v>
      </c>
      <c r="X149" s="186">
        <f t="shared" si="7"/>
        <v>9.1524764279035367</v>
      </c>
      <c r="Y149" s="178" t="str">
        <f t="shared" si="8"/>
        <v/>
      </c>
      <c r="Z149" s="178" t="str">
        <f t="shared" si="9"/>
        <v/>
      </c>
      <c r="AA149" s="44"/>
      <c r="AB149" s="65"/>
    </row>
    <row r="150" spans="1:28" hidden="1">
      <c r="A150" s="751">
        <v>1682</v>
      </c>
      <c r="B150" s="752" t="s">
        <v>35</v>
      </c>
      <c r="C150" s="751" t="s">
        <v>2960</v>
      </c>
      <c r="D150" s="752" t="s">
        <v>2966</v>
      </c>
      <c r="E150" s="752" t="s">
        <v>17</v>
      </c>
      <c r="F150" s="751">
        <v>18488</v>
      </c>
      <c r="G150" s="752" t="s">
        <v>83</v>
      </c>
      <c r="H150" s="752" t="s">
        <v>1245</v>
      </c>
      <c r="I150" s="752" t="s">
        <v>60</v>
      </c>
      <c r="J150" s="751">
        <v>22</v>
      </c>
      <c r="K150" s="751">
        <v>1</v>
      </c>
      <c r="L150" s="752" t="s">
        <v>36</v>
      </c>
      <c r="M150" s="752" t="s">
        <v>43</v>
      </c>
      <c r="N150" s="752" t="s">
        <v>48</v>
      </c>
      <c r="O150" s="752" t="s">
        <v>48</v>
      </c>
      <c r="P150" s="752" t="s">
        <v>49</v>
      </c>
      <c r="Q150" s="753">
        <v>628</v>
      </c>
      <c r="R150" s="753">
        <v>628</v>
      </c>
      <c r="S150" s="753">
        <v>3619</v>
      </c>
      <c r="T150" s="753">
        <v>3619</v>
      </c>
      <c r="U150" s="753">
        <v>188.077</v>
      </c>
      <c r="V150" s="751">
        <v>2019</v>
      </c>
      <c r="W150" s="222" t="s">
        <v>2666</v>
      </c>
      <c r="X150" s="186">
        <f t="shared" si="7"/>
        <v>19.242118919378765</v>
      </c>
      <c r="Y150" s="178" t="str">
        <f t="shared" si="8"/>
        <v/>
      </c>
      <c r="Z150" s="178" t="str">
        <f t="shared" si="9"/>
        <v/>
      </c>
      <c r="AA150" s="44"/>
      <c r="AB150" s="65"/>
    </row>
    <row r="151" spans="1:28" hidden="1">
      <c r="A151" s="751">
        <v>1682</v>
      </c>
      <c r="B151" s="752" t="s">
        <v>35</v>
      </c>
      <c r="C151" s="751" t="s">
        <v>2960</v>
      </c>
      <c r="D151" s="752" t="s">
        <v>2966</v>
      </c>
      <c r="E151" s="752" t="s">
        <v>17</v>
      </c>
      <c r="F151" s="751">
        <v>18488</v>
      </c>
      <c r="G151" s="752" t="s">
        <v>83</v>
      </c>
      <c r="H151" s="752" t="s">
        <v>1245</v>
      </c>
      <c r="I151" s="752" t="s">
        <v>60</v>
      </c>
      <c r="J151" s="751">
        <v>22</v>
      </c>
      <c r="K151" s="751">
        <v>1</v>
      </c>
      <c r="L151" s="752" t="s">
        <v>36</v>
      </c>
      <c r="M151" s="752" t="s">
        <v>43</v>
      </c>
      <c r="N151" s="752" t="s">
        <v>41</v>
      </c>
      <c r="O151" s="752" t="s">
        <v>41</v>
      </c>
      <c r="P151" s="752" t="s">
        <v>1091</v>
      </c>
      <c r="Q151" s="753">
        <v>143232</v>
      </c>
      <c r="R151" s="753">
        <v>143232</v>
      </c>
      <c r="S151" s="753">
        <v>147037</v>
      </c>
      <c r="T151" s="753">
        <v>147037</v>
      </c>
      <c r="U151" s="753">
        <v>8128.9229999999998</v>
      </c>
      <c r="V151" s="751">
        <v>2019</v>
      </c>
      <c r="W151" s="222" t="s">
        <v>2666</v>
      </c>
      <c r="X151" s="186"/>
      <c r="Y151" s="178" t="str">
        <f t="shared" si="8"/>
        <v/>
      </c>
      <c r="Z151" s="178" t="str">
        <f t="shared" si="9"/>
        <v/>
      </c>
      <c r="AA151" s="44"/>
      <c r="AB151" s="65"/>
    </row>
    <row r="152" spans="1:28" hidden="1">
      <c r="A152" s="751">
        <v>1682</v>
      </c>
      <c r="B152" s="752" t="s">
        <v>35</v>
      </c>
      <c r="C152" s="751" t="s">
        <v>2960</v>
      </c>
      <c r="D152" s="752" t="s">
        <v>2966</v>
      </c>
      <c r="E152" s="752" t="s">
        <v>17</v>
      </c>
      <c r="F152" s="751">
        <v>18488</v>
      </c>
      <c r="G152" s="752" t="s">
        <v>83</v>
      </c>
      <c r="H152" s="752" t="s">
        <v>1245</v>
      </c>
      <c r="I152" s="752" t="s">
        <v>60</v>
      </c>
      <c r="J152" s="751">
        <v>22</v>
      </c>
      <c r="K152" s="751">
        <v>1</v>
      </c>
      <c r="L152" s="752" t="s">
        <v>36</v>
      </c>
      <c r="M152" s="752" t="s">
        <v>44</v>
      </c>
      <c r="N152" s="752" t="s">
        <v>48</v>
      </c>
      <c r="O152" s="752" t="s">
        <v>48</v>
      </c>
      <c r="P152" s="752" t="s">
        <v>49</v>
      </c>
      <c r="Q152" s="753">
        <v>0</v>
      </c>
      <c r="R152" s="753">
        <v>0</v>
      </c>
      <c r="S152" s="753">
        <v>0</v>
      </c>
      <c r="T152" s="753">
        <v>0</v>
      </c>
      <c r="U152" s="753">
        <v>0</v>
      </c>
      <c r="V152" s="751">
        <v>2019</v>
      </c>
      <c r="W152" s="222" t="s">
        <v>2666</v>
      </c>
      <c r="X152" s="186"/>
      <c r="Y152" s="178" t="str">
        <f t="shared" si="8"/>
        <v/>
      </c>
      <c r="Z152" s="178" t="str">
        <f t="shared" si="9"/>
        <v/>
      </c>
      <c r="AA152" s="44"/>
      <c r="AB152" s="65"/>
    </row>
    <row r="153" spans="1:28" hidden="1">
      <c r="A153" s="751">
        <v>1682</v>
      </c>
      <c r="B153" s="752" t="s">
        <v>35</v>
      </c>
      <c r="C153" s="751" t="s">
        <v>2960</v>
      </c>
      <c r="D153" s="752" t="s">
        <v>2966</v>
      </c>
      <c r="E153" s="752" t="s">
        <v>17</v>
      </c>
      <c r="F153" s="751">
        <v>18488</v>
      </c>
      <c r="G153" s="752" t="s">
        <v>83</v>
      </c>
      <c r="H153" s="752" t="s">
        <v>1245</v>
      </c>
      <c r="I153" s="752" t="s">
        <v>60</v>
      </c>
      <c r="J153" s="751">
        <v>22</v>
      </c>
      <c r="K153" s="751">
        <v>1</v>
      </c>
      <c r="L153" s="752" t="s">
        <v>36</v>
      </c>
      <c r="M153" s="752" t="s">
        <v>44</v>
      </c>
      <c r="N153" s="752" t="s">
        <v>63</v>
      </c>
      <c r="O153" s="752" t="s">
        <v>63</v>
      </c>
      <c r="P153" s="752" t="s">
        <v>49</v>
      </c>
      <c r="Q153" s="753">
        <v>606</v>
      </c>
      <c r="R153" s="753">
        <v>606</v>
      </c>
      <c r="S153" s="753">
        <v>3844</v>
      </c>
      <c r="T153" s="753">
        <v>3844</v>
      </c>
      <c r="U153" s="753">
        <v>236</v>
      </c>
      <c r="V153" s="751">
        <v>2019</v>
      </c>
      <c r="W153" s="222" t="s">
        <v>2666</v>
      </c>
      <c r="X153" s="186"/>
      <c r="Y153" s="178" t="str">
        <f t="shared" si="8"/>
        <v/>
      </c>
      <c r="Z153" s="178" t="str">
        <f t="shared" si="9"/>
        <v/>
      </c>
      <c r="AA153" s="44"/>
      <c r="AB153" s="65"/>
    </row>
    <row r="154" spans="1:28" hidden="1">
      <c r="A154" s="751">
        <v>2349</v>
      </c>
      <c r="B154" s="752" t="s">
        <v>35</v>
      </c>
      <c r="C154" s="751" t="s">
        <v>2960</v>
      </c>
      <c r="D154" s="752" t="s">
        <v>97</v>
      </c>
      <c r="E154" s="752" t="s">
        <v>2248</v>
      </c>
      <c r="F154" s="751">
        <v>61122</v>
      </c>
      <c r="G154" s="752" t="s">
        <v>98</v>
      </c>
      <c r="H154" s="752" t="s">
        <v>1245</v>
      </c>
      <c r="I154" s="752" t="s">
        <v>60</v>
      </c>
      <c r="J154" s="751">
        <v>22</v>
      </c>
      <c r="K154" s="751">
        <v>2</v>
      </c>
      <c r="L154" s="752" t="s">
        <v>54</v>
      </c>
      <c r="M154" s="752" t="s">
        <v>37</v>
      </c>
      <c r="N154" s="752" t="s">
        <v>38</v>
      </c>
      <c r="O154" s="752" t="s">
        <v>39</v>
      </c>
      <c r="P154" s="752" t="s">
        <v>1238</v>
      </c>
      <c r="Q154" s="753">
        <v>0</v>
      </c>
      <c r="R154" s="753">
        <v>0</v>
      </c>
      <c r="S154" s="753">
        <v>3716566</v>
      </c>
      <c r="T154" s="753">
        <v>3716566</v>
      </c>
      <c r="U154" s="753">
        <v>417404</v>
      </c>
      <c r="V154" s="751">
        <v>2019</v>
      </c>
      <c r="W154" s="222"/>
      <c r="X154" s="186"/>
      <c r="Y154" s="178" t="str">
        <f t="shared" si="8"/>
        <v/>
      </c>
      <c r="Z154" s="178" t="str">
        <f t="shared" si="9"/>
        <v/>
      </c>
      <c r="AA154" s="44"/>
      <c r="AB154" s="65"/>
    </row>
    <row r="155" spans="1:28" hidden="1">
      <c r="A155" s="751">
        <v>2351</v>
      </c>
      <c r="B155" s="752" t="s">
        <v>35</v>
      </c>
      <c r="C155" s="751" t="s">
        <v>2960</v>
      </c>
      <c r="D155" s="752" t="s">
        <v>99</v>
      </c>
      <c r="E155" s="752" t="s">
        <v>2248</v>
      </c>
      <c r="F155" s="751">
        <v>61122</v>
      </c>
      <c r="G155" s="752" t="s">
        <v>98</v>
      </c>
      <c r="H155" s="752" t="s">
        <v>1245</v>
      </c>
      <c r="I155" s="752" t="s">
        <v>60</v>
      </c>
      <c r="J155" s="751">
        <v>22</v>
      </c>
      <c r="K155" s="751">
        <v>2</v>
      </c>
      <c r="L155" s="752" t="s">
        <v>54</v>
      </c>
      <c r="M155" s="752" t="s">
        <v>37</v>
      </c>
      <c r="N155" s="752" t="s">
        <v>38</v>
      </c>
      <c r="O155" s="752" t="s">
        <v>39</v>
      </c>
      <c r="P155" s="752" t="s">
        <v>1238</v>
      </c>
      <c r="Q155" s="753">
        <v>0</v>
      </c>
      <c r="R155" s="753">
        <v>0</v>
      </c>
      <c r="S155" s="753">
        <v>2993808</v>
      </c>
      <c r="T155" s="753">
        <v>2993808</v>
      </c>
      <c r="U155" s="753">
        <v>336232</v>
      </c>
      <c r="V155" s="751">
        <v>2019</v>
      </c>
      <c r="W155" s="222"/>
      <c r="X155" s="186"/>
      <c r="Y155" s="178" t="str">
        <f t="shared" si="8"/>
        <v/>
      </c>
      <c r="Z155" s="178" t="str">
        <f t="shared" si="9"/>
        <v/>
      </c>
      <c r="AA155" s="44"/>
      <c r="AB155" s="65"/>
    </row>
    <row r="156" spans="1:28" hidden="1">
      <c r="A156" s="751">
        <v>2352</v>
      </c>
      <c r="B156" s="752" t="s">
        <v>35</v>
      </c>
      <c r="C156" s="751" t="s">
        <v>2960</v>
      </c>
      <c r="D156" s="752" t="s">
        <v>1644</v>
      </c>
      <c r="E156" s="752" t="s">
        <v>2248</v>
      </c>
      <c r="F156" s="751">
        <v>61122</v>
      </c>
      <c r="G156" s="752" t="s">
        <v>91</v>
      </c>
      <c r="H156" s="752" t="s">
        <v>1245</v>
      </c>
      <c r="I156" s="752" t="s">
        <v>60</v>
      </c>
      <c r="J156" s="751">
        <v>22</v>
      </c>
      <c r="K156" s="751">
        <v>2</v>
      </c>
      <c r="L156" s="752" t="s">
        <v>54</v>
      </c>
      <c r="M156" s="752" t="s">
        <v>37</v>
      </c>
      <c r="N156" s="752" t="s">
        <v>38</v>
      </c>
      <c r="O156" s="752" t="s">
        <v>39</v>
      </c>
      <c r="P156" s="752" t="s">
        <v>1238</v>
      </c>
      <c r="Q156" s="753">
        <v>0</v>
      </c>
      <c r="R156" s="753">
        <v>0</v>
      </c>
      <c r="S156" s="753">
        <v>1445439</v>
      </c>
      <c r="T156" s="753">
        <v>1445439</v>
      </c>
      <c r="U156" s="753">
        <v>162336</v>
      </c>
      <c r="V156" s="751">
        <v>2019</v>
      </c>
      <c r="W156" s="222"/>
      <c r="X156" s="186"/>
      <c r="Y156" s="178" t="str">
        <f t="shared" si="8"/>
        <v/>
      </c>
      <c r="Z156" s="178" t="str">
        <f t="shared" si="9"/>
        <v/>
      </c>
      <c r="AA156" s="44"/>
      <c r="AB156" s="65"/>
    </row>
    <row r="157" spans="1:28" hidden="1">
      <c r="A157" s="751">
        <v>2353</v>
      </c>
      <c r="B157" s="752" t="s">
        <v>35</v>
      </c>
      <c r="C157" s="751" t="s">
        <v>2960</v>
      </c>
      <c r="D157" s="752" t="s">
        <v>640</v>
      </c>
      <c r="E157" s="752" t="s">
        <v>2248</v>
      </c>
      <c r="F157" s="751">
        <v>61122</v>
      </c>
      <c r="G157" s="752" t="s">
        <v>91</v>
      </c>
      <c r="H157" s="752" t="s">
        <v>1245</v>
      </c>
      <c r="I157" s="752" t="s">
        <v>60</v>
      </c>
      <c r="J157" s="751">
        <v>22</v>
      </c>
      <c r="K157" s="751">
        <v>2</v>
      </c>
      <c r="L157" s="752" t="s">
        <v>54</v>
      </c>
      <c r="M157" s="752" t="s">
        <v>37</v>
      </c>
      <c r="N157" s="752" t="s">
        <v>38</v>
      </c>
      <c r="O157" s="752" t="s">
        <v>39</v>
      </c>
      <c r="P157" s="752" t="s">
        <v>1238</v>
      </c>
      <c r="Q157" s="753">
        <v>0</v>
      </c>
      <c r="R157" s="753">
        <v>0</v>
      </c>
      <c r="S157" s="753">
        <v>1465929</v>
      </c>
      <c r="T157" s="753">
        <v>1465929</v>
      </c>
      <c r="U157" s="753">
        <v>164637</v>
      </c>
      <c r="V157" s="751">
        <v>2019</v>
      </c>
      <c r="W157" s="222"/>
      <c r="X157" s="186"/>
      <c r="Y157" s="178" t="str">
        <f t="shared" si="8"/>
        <v/>
      </c>
      <c r="Z157" s="178" t="str">
        <f t="shared" si="9"/>
        <v/>
      </c>
      <c r="AA157" s="44"/>
      <c r="AB157" s="65"/>
    </row>
    <row r="158" spans="1:28" hidden="1">
      <c r="A158" s="751">
        <v>2354</v>
      </c>
      <c r="B158" s="752" t="s">
        <v>35</v>
      </c>
      <c r="C158" s="751" t="s">
        <v>2960</v>
      </c>
      <c r="D158" s="752" t="s">
        <v>100</v>
      </c>
      <c r="E158" s="752" t="s">
        <v>2453</v>
      </c>
      <c r="F158" s="751">
        <v>62775</v>
      </c>
      <c r="G158" s="752" t="s">
        <v>98</v>
      </c>
      <c r="H158" s="752" t="s">
        <v>1245</v>
      </c>
      <c r="I158" s="752" t="s">
        <v>60</v>
      </c>
      <c r="J158" s="751">
        <v>22</v>
      </c>
      <c r="K158" s="751">
        <v>1</v>
      </c>
      <c r="L158" s="752" t="s">
        <v>36</v>
      </c>
      <c r="M158" s="752" t="s">
        <v>37</v>
      </c>
      <c r="N158" s="752" t="s">
        <v>38</v>
      </c>
      <c r="O158" s="752" t="s">
        <v>39</v>
      </c>
      <c r="P158" s="752" t="s">
        <v>1238</v>
      </c>
      <c r="Q158" s="753">
        <v>0</v>
      </c>
      <c r="R158" s="753">
        <v>0</v>
      </c>
      <c r="S158" s="753">
        <v>808172</v>
      </c>
      <c r="T158" s="753">
        <v>808172</v>
      </c>
      <c r="U158" s="753">
        <v>90765</v>
      </c>
      <c r="V158" s="751">
        <v>2019</v>
      </c>
      <c r="W158" s="222"/>
      <c r="X158" s="186"/>
      <c r="Y158" s="178" t="str">
        <f t="shared" si="8"/>
        <v/>
      </c>
      <c r="Z158" s="178" t="str">
        <f t="shared" si="9"/>
        <v/>
      </c>
      <c r="AA158" s="44"/>
      <c r="AB158" s="65"/>
    </row>
    <row r="159" spans="1:28" hidden="1">
      <c r="A159" s="751">
        <v>2355</v>
      </c>
      <c r="B159" s="752" t="s">
        <v>35</v>
      </c>
      <c r="C159" s="751" t="s">
        <v>2960</v>
      </c>
      <c r="D159" s="752" t="s">
        <v>101</v>
      </c>
      <c r="E159" s="752" t="s">
        <v>2453</v>
      </c>
      <c r="F159" s="751">
        <v>62775</v>
      </c>
      <c r="G159" s="752" t="s">
        <v>98</v>
      </c>
      <c r="H159" s="752" t="s">
        <v>1245</v>
      </c>
      <c r="I159" s="752" t="s">
        <v>60</v>
      </c>
      <c r="J159" s="751">
        <v>22</v>
      </c>
      <c r="K159" s="751">
        <v>1</v>
      </c>
      <c r="L159" s="752" t="s">
        <v>36</v>
      </c>
      <c r="M159" s="752" t="s">
        <v>37</v>
      </c>
      <c r="N159" s="752" t="s">
        <v>38</v>
      </c>
      <c r="O159" s="752" t="s">
        <v>39</v>
      </c>
      <c r="P159" s="752" t="s">
        <v>1238</v>
      </c>
      <c r="Q159" s="753">
        <v>0</v>
      </c>
      <c r="R159" s="753">
        <v>0</v>
      </c>
      <c r="S159" s="753">
        <v>441193</v>
      </c>
      <c r="T159" s="753">
        <v>441193</v>
      </c>
      <c r="U159" s="753">
        <v>49550</v>
      </c>
      <c r="V159" s="751">
        <v>2019</v>
      </c>
      <c r="W159" s="222"/>
      <c r="X159" s="186"/>
      <c r="Y159" s="178" t="str">
        <f t="shared" si="8"/>
        <v/>
      </c>
      <c r="Z159" s="178" t="str">
        <f t="shared" si="9"/>
        <v/>
      </c>
      <c r="AA159" s="44"/>
      <c r="AB159" s="65"/>
    </row>
    <row r="160" spans="1:28" hidden="1">
      <c r="A160" s="751">
        <v>2356</v>
      </c>
      <c r="B160" s="752" t="s">
        <v>35</v>
      </c>
      <c r="C160" s="751" t="s">
        <v>2960</v>
      </c>
      <c r="D160" s="752" t="s">
        <v>641</v>
      </c>
      <c r="E160" s="752" t="s">
        <v>2453</v>
      </c>
      <c r="F160" s="751">
        <v>62775</v>
      </c>
      <c r="G160" s="752" t="s">
        <v>98</v>
      </c>
      <c r="H160" s="752" t="s">
        <v>1245</v>
      </c>
      <c r="I160" s="752" t="s">
        <v>60</v>
      </c>
      <c r="J160" s="751">
        <v>22</v>
      </c>
      <c r="K160" s="751">
        <v>1</v>
      </c>
      <c r="L160" s="752" t="s">
        <v>36</v>
      </c>
      <c r="M160" s="752" t="s">
        <v>37</v>
      </c>
      <c r="N160" s="752" t="s">
        <v>38</v>
      </c>
      <c r="O160" s="752" t="s">
        <v>39</v>
      </c>
      <c r="P160" s="752" t="s">
        <v>1238</v>
      </c>
      <c r="Q160" s="753">
        <v>0</v>
      </c>
      <c r="R160" s="753">
        <v>0</v>
      </c>
      <c r="S160" s="753">
        <v>274378</v>
      </c>
      <c r="T160" s="753">
        <v>274378</v>
      </c>
      <c r="U160" s="753">
        <v>30815</v>
      </c>
      <c r="V160" s="751">
        <v>2019</v>
      </c>
      <c r="W160" s="222"/>
      <c r="X160" s="186"/>
      <c r="Y160" s="178" t="str">
        <f t="shared" si="8"/>
        <v/>
      </c>
      <c r="Z160" s="178" t="str">
        <f t="shared" si="9"/>
        <v/>
      </c>
      <c r="AA160" s="44"/>
      <c r="AB160" s="65"/>
    </row>
    <row r="161" spans="1:28" hidden="1">
      <c r="A161" s="751">
        <v>2357</v>
      </c>
      <c r="B161" s="752" t="s">
        <v>35</v>
      </c>
      <c r="C161" s="751" t="s">
        <v>2960</v>
      </c>
      <c r="D161" s="752" t="s">
        <v>102</v>
      </c>
      <c r="E161" s="752" t="s">
        <v>2453</v>
      </c>
      <c r="F161" s="751">
        <v>62775</v>
      </c>
      <c r="G161" s="752" t="s">
        <v>98</v>
      </c>
      <c r="H161" s="752" t="s">
        <v>1245</v>
      </c>
      <c r="I161" s="752" t="s">
        <v>60</v>
      </c>
      <c r="J161" s="751">
        <v>22</v>
      </c>
      <c r="K161" s="751">
        <v>1</v>
      </c>
      <c r="L161" s="752" t="s">
        <v>36</v>
      </c>
      <c r="M161" s="752" t="s">
        <v>37</v>
      </c>
      <c r="N161" s="752" t="s">
        <v>38</v>
      </c>
      <c r="O161" s="752" t="s">
        <v>39</v>
      </c>
      <c r="P161" s="752" t="s">
        <v>1238</v>
      </c>
      <c r="Q161" s="753">
        <v>0</v>
      </c>
      <c r="R161" s="753">
        <v>0</v>
      </c>
      <c r="S161" s="753">
        <v>345485</v>
      </c>
      <c r="T161" s="753">
        <v>345485</v>
      </c>
      <c r="U161" s="753">
        <v>38801</v>
      </c>
      <c r="V161" s="751">
        <v>2019</v>
      </c>
      <c r="W161" s="222"/>
      <c r="X161" s="186"/>
      <c r="Y161" s="178" t="str">
        <f t="shared" si="8"/>
        <v/>
      </c>
      <c r="Z161" s="178" t="str">
        <f t="shared" si="9"/>
        <v/>
      </c>
      <c r="AA161" s="44"/>
      <c r="AB161" s="65"/>
    </row>
    <row r="162" spans="1:28" hidden="1">
      <c r="A162" s="751">
        <v>2358</v>
      </c>
      <c r="B162" s="752" t="s">
        <v>35</v>
      </c>
      <c r="C162" s="751" t="s">
        <v>2960</v>
      </c>
      <c r="D162" s="752" t="s">
        <v>642</v>
      </c>
      <c r="E162" s="752" t="s">
        <v>2453</v>
      </c>
      <c r="F162" s="751">
        <v>62775</v>
      </c>
      <c r="G162" s="752" t="s">
        <v>98</v>
      </c>
      <c r="H162" s="752" t="s">
        <v>1245</v>
      </c>
      <c r="I162" s="752" t="s">
        <v>60</v>
      </c>
      <c r="J162" s="751">
        <v>22</v>
      </c>
      <c r="K162" s="751">
        <v>1</v>
      </c>
      <c r="L162" s="752" t="s">
        <v>36</v>
      </c>
      <c r="M162" s="752" t="s">
        <v>37</v>
      </c>
      <c r="N162" s="752" t="s">
        <v>38</v>
      </c>
      <c r="O162" s="752" t="s">
        <v>39</v>
      </c>
      <c r="P162" s="752" t="s">
        <v>1238</v>
      </c>
      <c r="Q162" s="753">
        <v>0</v>
      </c>
      <c r="R162" s="753">
        <v>0</v>
      </c>
      <c r="S162" s="753">
        <v>94613</v>
      </c>
      <c r="T162" s="753">
        <v>94613</v>
      </c>
      <c r="U162" s="753">
        <v>10626</v>
      </c>
      <c r="V162" s="751">
        <v>2019</v>
      </c>
      <c r="W162" s="222"/>
      <c r="X162" s="186"/>
      <c r="Y162" s="178" t="str">
        <f t="shared" si="8"/>
        <v/>
      </c>
      <c r="Z162" s="178" t="str">
        <f t="shared" si="9"/>
        <v/>
      </c>
      <c r="AA162" s="44"/>
      <c r="AB162" s="65"/>
    </row>
    <row r="163" spans="1:28" hidden="1">
      <c r="A163" s="751">
        <v>2359</v>
      </c>
      <c r="B163" s="752" t="s">
        <v>35</v>
      </c>
      <c r="C163" s="751" t="s">
        <v>2960</v>
      </c>
      <c r="D163" s="752" t="s">
        <v>643</v>
      </c>
      <c r="E163" s="752" t="s">
        <v>2453</v>
      </c>
      <c r="F163" s="751">
        <v>62775</v>
      </c>
      <c r="G163" s="752" t="s">
        <v>98</v>
      </c>
      <c r="H163" s="752" t="s">
        <v>1245</v>
      </c>
      <c r="I163" s="752" t="s">
        <v>60</v>
      </c>
      <c r="J163" s="751">
        <v>22</v>
      </c>
      <c r="K163" s="751">
        <v>1</v>
      </c>
      <c r="L163" s="752" t="s">
        <v>36</v>
      </c>
      <c r="M163" s="752" t="s">
        <v>37</v>
      </c>
      <c r="N163" s="752" t="s">
        <v>38</v>
      </c>
      <c r="O163" s="752" t="s">
        <v>39</v>
      </c>
      <c r="P163" s="752" t="s">
        <v>1238</v>
      </c>
      <c r="Q163" s="753">
        <v>0</v>
      </c>
      <c r="R163" s="753">
        <v>0</v>
      </c>
      <c r="S163" s="753">
        <v>67278</v>
      </c>
      <c r="T163" s="753">
        <v>67278</v>
      </c>
      <c r="U163" s="753">
        <v>7556</v>
      </c>
      <c r="V163" s="751">
        <v>2019</v>
      </c>
      <c r="W163" s="222"/>
      <c r="X163" s="186"/>
      <c r="Y163" s="178" t="str">
        <f t="shared" si="8"/>
        <v/>
      </c>
      <c r="Z163" s="178" t="str">
        <f t="shared" si="9"/>
        <v/>
      </c>
      <c r="AA163" s="44"/>
      <c r="AB163" s="65"/>
    </row>
    <row r="164" spans="1:28" hidden="1">
      <c r="A164" s="751">
        <v>2360</v>
      </c>
      <c r="B164" s="752" t="s">
        <v>35</v>
      </c>
      <c r="C164" s="751" t="s">
        <v>2960</v>
      </c>
      <c r="D164" s="752" t="s">
        <v>644</v>
      </c>
      <c r="E164" s="752" t="s">
        <v>2453</v>
      </c>
      <c r="F164" s="751">
        <v>62775</v>
      </c>
      <c r="G164" s="752" t="s">
        <v>98</v>
      </c>
      <c r="H164" s="752" t="s">
        <v>1245</v>
      </c>
      <c r="I164" s="752" t="s">
        <v>60</v>
      </c>
      <c r="J164" s="751">
        <v>22</v>
      </c>
      <c r="K164" s="751">
        <v>1</v>
      </c>
      <c r="L164" s="752" t="s">
        <v>36</v>
      </c>
      <c r="M164" s="752" t="s">
        <v>37</v>
      </c>
      <c r="N164" s="752" t="s">
        <v>38</v>
      </c>
      <c r="O164" s="752" t="s">
        <v>39</v>
      </c>
      <c r="P164" s="752" t="s">
        <v>1238</v>
      </c>
      <c r="Q164" s="753">
        <v>0</v>
      </c>
      <c r="R164" s="753">
        <v>0</v>
      </c>
      <c r="S164" s="753">
        <v>100026</v>
      </c>
      <c r="T164" s="753">
        <v>100026</v>
      </c>
      <c r="U164" s="753">
        <v>11234</v>
      </c>
      <c r="V164" s="751">
        <v>2019</v>
      </c>
      <c r="W164" s="222"/>
      <c r="X164" s="186"/>
      <c r="Y164" s="178" t="str">
        <f t="shared" si="8"/>
        <v/>
      </c>
      <c r="Z164" s="178" t="str">
        <f t="shared" si="9"/>
        <v/>
      </c>
      <c r="AA164" s="44"/>
      <c r="AB164" s="65"/>
    </row>
    <row r="165" spans="1:28" hidden="1">
      <c r="A165" s="751">
        <v>2362</v>
      </c>
      <c r="B165" s="752" t="s">
        <v>35</v>
      </c>
      <c r="C165" s="751" t="s">
        <v>2960</v>
      </c>
      <c r="D165" s="752" t="s">
        <v>645</v>
      </c>
      <c r="E165" s="752" t="s">
        <v>2454</v>
      </c>
      <c r="F165" s="751">
        <v>62032</v>
      </c>
      <c r="G165" s="752" t="s">
        <v>98</v>
      </c>
      <c r="H165" s="752" t="s">
        <v>1245</v>
      </c>
      <c r="I165" s="752" t="s">
        <v>60</v>
      </c>
      <c r="J165" s="751">
        <v>22</v>
      </c>
      <c r="K165" s="751">
        <v>1</v>
      </c>
      <c r="L165" s="752" t="s">
        <v>36</v>
      </c>
      <c r="M165" s="752" t="s">
        <v>52</v>
      </c>
      <c r="N165" s="752" t="s">
        <v>48</v>
      </c>
      <c r="O165" s="752" t="s">
        <v>48</v>
      </c>
      <c r="P165" s="752" t="s">
        <v>49</v>
      </c>
      <c r="Q165" s="753">
        <v>787</v>
      </c>
      <c r="R165" s="753">
        <v>787</v>
      </c>
      <c r="S165" s="753">
        <v>4620</v>
      </c>
      <c r="T165" s="753">
        <v>4620</v>
      </c>
      <c r="U165" s="753">
        <v>239</v>
      </c>
      <c r="V165" s="751">
        <v>2019</v>
      </c>
      <c r="W165" s="222"/>
      <c r="X165" s="186"/>
      <c r="Y165" s="178" t="str">
        <f t="shared" si="8"/>
        <v/>
      </c>
      <c r="Z165" s="178" t="str">
        <f t="shared" si="9"/>
        <v/>
      </c>
      <c r="AA165" s="44"/>
      <c r="AB165" s="65"/>
    </row>
    <row r="166" spans="1:28" hidden="1">
      <c r="A166" s="751">
        <v>2364</v>
      </c>
      <c r="B166" s="752" t="s">
        <v>35</v>
      </c>
      <c r="C166" s="751" t="s">
        <v>2960</v>
      </c>
      <c r="D166" s="752" t="s">
        <v>103</v>
      </c>
      <c r="E166" s="752" t="s">
        <v>2454</v>
      </c>
      <c r="F166" s="751">
        <v>62032</v>
      </c>
      <c r="G166" s="752" t="s">
        <v>98</v>
      </c>
      <c r="H166" s="752" t="s">
        <v>1245</v>
      </c>
      <c r="I166" s="752" t="s">
        <v>60</v>
      </c>
      <c r="J166" s="751">
        <v>22</v>
      </c>
      <c r="K166" s="751">
        <v>1</v>
      </c>
      <c r="L166" s="752" t="s">
        <v>36</v>
      </c>
      <c r="M166" s="752" t="s">
        <v>52</v>
      </c>
      <c r="N166" s="752" t="s">
        <v>68</v>
      </c>
      <c r="O166" s="752" t="s">
        <v>69</v>
      </c>
      <c r="P166" s="752" t="s">
        <v>49</v>
      </c>
      <c r="Q166" s="753">
        <v>955</v>
      </c>
      <c r="R166" s="753">
        <v>955</v>
      </c>
      <c r="S166" s="753">
        <v>5426</v>
      </c>
      <c r="T166" s="753">
        <v>5426</v>
      </c>
      <c r="U166" s="753">
        <v>370</v>
      </c>
      <c r="V166" s="751">
        <v>2019</v>
      </c>
      <c r="W166" s="222" t="s">
        <v>2666</v>
      </c>
      <c r="X166" s="186"/>
      <c r="Y166" s="178" t="str">
        <f t="shared" si="8"/>
        <v/>
      </c>
      <c r="Z166" s="178" t="str">
        <f t="shared" si="9"/>
        <v/>
      </c>
      <c r="AA166" s="44"/>
      <c r="AB166" s="65"/>
    </row>
    <row r="167" spans="1:28" ht="25" hidden="1">
      <c r="A167" s="751">
        <v>2364</v>
      </c>
      <c r="B167" s="752" t="s">
        <v>35</v>
      </c>
      <c r="C167" s="751" t="s">
        <v>2960</v>
      </c>
      <c r="D167" s="752" t="s">
        <v>103</v>
      </c>
      <c r="E167" s="752" t="s">
        <v>2454</v>
      </c>
      <c r="F167" s="751">
        <v>62032</v>
      </c>
      <c r="G167" s="752" t="s">
        <v>98</v>
      </c>
      <c r="H167" s="752" t="s">
        <v>1245</v>
      </c>
      <c r="I167" s="752" t="s">
        <v>60</v>
      </c>
      <c r="J167" s="751">
        <v>22</v>
      </c>
      <c r="K167" s="751">
        <v>1</v>
      </c>
      <c r="L167" s="752" t="s">
        <v>36</v>
      </c>
      <c r="M167" s="752" t="s">
        <v>44</v>
      </c>
      <c r="N167" s="752" t="s">
        <v>45</v>
      </c>
      <c r="O167" s="752" t="s">
        <v>46</v>
      </c>
      <c r="P167" s="752" t="s">
        <v>47</v>
      </c>
      <c r="Q167" s="753">
        <v>130376</v>
      </c>
      <c r="R167" s="753">
        <v>130376</v>
      </c>
      <c r="S167" s="753">
        <v>3419873</v>
      </c>
      <c r="T167" s="753">
        <v>3419873</v>
      </c>
      <c r="U167" s="753">
        <v>300678.87</v>
      </c>
      <c r="V167" s="751">
        <v>2019</v>
      </c>
      <c r="W167" s="222" t="s">
        <v>2666</v>
      </c>
      <c r="X167" s="186">
        <f t="shared" ref="X167:X173" si="10">IF(OR(K167&gt;3,T167=0,NOT(U167&gt;0)),"",T167/U167)</f>
        <v>11.37383880683069</v>
      </c>
      <c r="Y167" s="178" t="str">
        <f t="shared" si="8"/>
        <v/>
      </c>
      <c r="Z167" s="178" t="str">
        <f t="shared" si="9"/>
        <v/>
      </c>
      <c r="AA167" s="44"/>
      <c r="AB167" s="65"/>
    </row>
    <row r="168" spans="1:28" hidden="1">
      <c r="A168" s="751">
        <v>2364</v>
      </c>
      <c r="B168" s="752" t="s">
        <v>35</v>
      </c>
      <c r="C168" s="751" t="s">
        <v>2960</v>
      </c>
      <c r="D168" s="752" t="s">
        <v>103</v>
      </c>
      <c r="E168" s="752" t="s">
        <v>2454</v>
      </c>
      <c r="F168" s="751">
        <v>62032</v>
      </c>
      <c r="G168" s="752" t="s">
        <v>98</v>
      </c>
      <c r="H168" s="752" t="s">
        <v>1245</v>
      </c>
      <c r="I168" s="752" t="s">
        <v>60</v>
      </c>
      <c r="J168" s="751">
        <v>22</v>
      </c>
      <c r="K168" s="751">
        <v>1</v>
      </c>
      <c r="L168" s="752" t="s">
        <v>36</v>
      </c>
      <c r="M168" s="752" t="s">
        <v>44</v>
      </c>
      <c r="N168" s="752" t="s">
        <v>48</v>
      </c>
      <c r="O168" s="752" t="s">
        <v>48</v>
      </c>
      <c r="P168" s="752" t="s">
        <v>49</v>
      </c>
      <c r="Q168" s="753">
        <v>1225</v>
      </c>
      <c r="R168" s="753">
        <v>1225</v>
      </c>
      <c r="S168" s="753">
        <v>7080</v>
      </c>
      <c r="T168" s="753">
        <v>7080</v>
      </c>
      <c r="U168" s="753">
        <v>606.12599999999998</v>
      </c>
      <c r="V168" s="751">
        <v>2019</v>
      </c>
      <c r="W168" s="222" t="s">
        <v>2666</v>
      </c>
      <c r="X168" s="186">
        <f t="shared" si="10"/>
        <v>11.680739648191961</v>
      </c>
      <c r="Y168" s="178" t="str">
        <f t="shared" si="8"/>
        <v/>
      </c>
      <c r="Z168" s="178" t="str">
        <f t="shared" si="9"/>
        <v/>
      </c>
      <c r="AA168" s="44"/>
      <c r="AB168" s="65"/>
    </row>
    <row r="169" spans="1:28" hidden="1">
      <c r="A169" s="751">
        <v>2367</v>
      </c>
      <c r="B169" s="752" t="s">
        <v>35</v>
      </c>
      <c r="C169" s="751" t="s">
        <v>2960</v>
      </c>
      <c r="D169" s="752" t="s">
        <v>104</v>
      </c>
      <c r="E169" s="752" t="s">
        <v>2454</v>
      </c>
      <c r="F169" s="751">
        <v>62032</v>
      </c>
      <c r="G169" s="752" t="s">
        <v>98</v>
      </c>
      <c r="H169" s="752" t="s">
        <v>1245</v>
      </c>
      <c r="I169" s="752" t="s">
        <v>60</v>
      </c>
      <c r="J169" s="751">
        <v>22</v>
      </c>
      <c r="K169" s="751">
        <v>1</v>
      </c>
      <c r="L169" s="752" t="s">
        <v>36</v>
      </c>
      <c r="M169" s="752" t="s">
        <v>52</v>
      </c>
      <c r="N169" s="752" t="s">
        <v>68</v>
      </c>
      <c r="O169" s="752" t="s">
        <v>69</v>
      </c>
      <c r="P169" s="752" t="s">
        <v>49</v>
      </c>
      <c r="Q169" s="753">
        <v>604</v>
      </c>
      <c r="R169" s="753">
        <v>604</v>
      </c>
      <c r="S169" s="753">
        <v>3442</v>
      </c>
      <c r="T169" s="753">
        <v>3442</v>
      </c>
      <c r="U169" s="753">
        <v>226</v>
      </c>
      <c r="V169" s="751">
        <v>2019</v>
      </c>
      <c r="W169" s="222"/>
      <c r="X169" s="186">
        <f t="shared" si="10"/>
        <v>15.230088495575222</v>
      </c>
      <c r="Y169" s="178" t="str">
        <f t="shared" si="8"/>
        <v/>
      </c>
      <c r="Z169" s="178" t="str">
        <f t="shared" si="9"/>
        <v/>
      </c>
      <c r="AA169" s="44"/>
      <c r="AB169" s="65"/>
    </row>
    <row r="170" spans="1:28" hidden="1">
      <c r="A170" s="751">
        <v>2367</v>
      </c>
      <c r="B170" s="752" t="s">
        <v>35</v>
      </c>
      <c r="C170" s="751" t="s">
        <v>2960</v>
      </c>
      <c r="D170" s="752" t="s">
        <v>104</v>
      </c>
      <c r="E170" s="752" t="s">
        <v>2454</v>
      </c>
      <c r="F170" s="751">
        <v>62032</v>
      </c>
      <c r="G170" s="752" t="s">
        <v>98</v>
      </c>
      <c r="H170" s="752" t="s">
        <v>1245</v>
      </c>
      <c r="I170" s="752" t="s">
        <v>60</v>
      </c>
      <c r="J170" s="751">
        <v>22</v>
      </c>
      <c r="K170" s="751">
        <v>1</v>
      </c>
      <c r="L170" s="752" t="s">
        <v>36</v>
      </c>
      <c r="M170" s="752" t="s">
        <v>52</v>
      </c>
      <c r="N170" s="752" t="s">
        <v>41</v>
      </c>
      <c r="O170" s="752" t="s">
        <v>41</v>
      </c>
      <c r="P170" s="752" t="s">
        <v>1091</v>
      </c>
      <c r="Q170" s="753">
        <v>0</v>
      </c>
      <c r="R170" s="753">
        <v>0</v>
      </c>
      <c r="S170" s="753">
        <v>0</v>
      </c>
      <c r="T170" s="753">
        <v>0</v>
      </c>
      <c r="U170" s="753">
        <v>0</v>
      </c>
      <c r="V170" s="751">
        <v>2019</v>
      </c>
      <c r="W170" s="222"/>
      <c r="X170" s="186" t="str">
        <f t="shared" si="10"/>
        <v/>
      </c>
      <c r="Y170" s="178" t="str">
        <f t="shared" si="8"/>
        <v/>
      </c>
      <c r="Z170" s="178" t="str">
        <f t="shared" si="9"/>
        <v/>
      </c>
      <c r="AA170" s="44"/>
      <c r="AB170" s="65"/>
    </row>
    <row r="171" spans="1:28" ht="25" hidden="1">
      <c r="A171" s="751">
        <v>2367</v>
      </c>
      <c r="B171" s="752" t="s">
        <v>35</v>
      </c>
      <c r="C171" s="751" t="s">
        <v>2960</v>
      </c>
      <c r="D171" s="752" t="s">
        <v>104</v>
      </c>
      <c r="E171" s="752" t="s">
        <v>2454</v>
      </c>
      <c r="F171" s="751">
        <v>62032</v>
      </c>
      <c r="G171" s="752" t="s">
        <v>98</v>
      </c>
      <c r="H171" s="752" t="s">
        <v>1245</v>
      </c>
      <c r="I171" s="752" t="s">
        <v>60</v>
      </c>
      <c r="J171" s="751">
        <v>22</v>
      </c>
      <c r="K171" s="751">
        <v>1</v>
      </c>
      <c r="L171" s="752" t="s">
        <v>36</v>
      </c>
      <c r="M171" s="752" t="s">
        <v>44</v>
      </c>
      <c r="N171" s="752" t="s">
        <v>45</v>
      </c>
      <c r="O171" s="752" t="s">
        <v>46</v>
      </c>
      <c r="P171" s="752" t="s">
        <v>47</v>
      </c>
      <c r="Q171" s="753">
        <v>29086</v>
      </c>
      <c r="R171" s="753">
        <v>29086</v>
      </c>
      <c r="S171" s="753">
        <v>762054</v>
      </c>
      <c r="T171" s="753">
        <v>762054</v>
      </c>
      <c r="U171" s="753">
        <v>42336.563999999998</v>
      </c>
      <c r="V171" s="751">
        <v>2019</v>
      </c>
      <c r="W171" s="222"/>
      <c r="X171" s="186">
        <f t="shared" si="10"/>
        <v>17.999901928744148</v>
      </c>
      <c r="Y171" s="178" t="str">
        <f t="shared" si="8"/>
        <v/>
      </c>
      <c r="Z171" s="178" t="str">
        <f t="shared" si="9"/>
        <v/>
      </c>
      <c r="AA171" s="44"/>
      <c r="AB171" s="65"/>
    </row>
    <row r="172" spans="1:28" hidden="1">
      <c r="A172" s="751">
        <v>2367</v>
      </c>
      <c r="B172" s="752" t="s">
        <v>35</v>
      </c>
      <c r="C172" s="751" t="s">
        <v>2960</v>
      </c>
      <c r="D172" s="752" t="s">
        <v>104</v>
      </c>
      <c r="E172" s="752" t="s">
        <v>2454</v>
      </c>
      <c r="F172" s="751">
        <v>62032</v>
      </c>
      <c r="G172" s="752" t="s">
        <v>98</v>
      </c>
      <c r="H172" s="752" t="s">
        <v>1245</v>
      </c>
      <c r="I172" s="752" t="s">
        <v>60</v>
      </c>
      <c r="J172" s="751">
        <v>22</v>
      </c>
      <c r="K172" s="751">
        <v>1</v>
      </c>
      <c r="L172" s="752" t="s">
        <v>36</v>
      </c>
      <c r="M172" s="752" t="s">
        <v>44</v>
      </c>
      <c r="N172" s="752" t="s">
        <v>48</v>
      </c>
      <c r="O172" s="752" t="s">
        <v>48</v>
      </c>
      <c r="P172" s="752" t="s">
        <v>49</v>
      </c>
      <c r="Q172" s="753">
        <v>0</v>
      </c>
      <c r="R172" s="753">
        <v>0</v>
      </c>
      <c r="S172" s="753">
        <v>0</v>
      </c>
      <c r="T172" s="753">
        <v>0</v>
      </c>
      <c r="U172" s="753">
        <v>0</v>
      </c>
      <c r="V172" s="751">
        <v>2019</v>
      </c>
      <c r="W172" s="222"/>
      <c r="X172" s="186" t="str">
        <f t="shared" si="10"/>
        <v/>
      </c>
      <c r="Y172" s="178" t="str">
        <f t="shared" si="8"/>
        <v/>
      </c>
      <c r="Z172" s="178" t="str">
        <f t="shared" si="9"/>
        <v/>
      </c>
      <c r="AA172" s="44"/>
      <c r="AB172" s="65"/>
    </row>
    <row r="173" spans="1:28" hidden="1">
      <c r="A173" s="751">
        <v>2367</v>
      </c>
      <c r="B173" s="752" t="s">
        <v>35</v>
      </c>
      <c r="C173" s="751" t="s">
        <v>2960</v>
      </c>
      <c r="D173" s="752" t="s">
        <v>104</v>
      </c>
      <c r="E173" s="752" t="s">
        <v>2454</v>
      </c>
      <c r="F173" s="751">
        <v>62032</v>
      </c>
      <c r="G173" s="752" t="s">
        <v>98</v>
      </c>
      <c r="H173" s="752" t="s">
        <v>1245</v>
      </c>
      <c r="I173" s="752" t="s">
        <v>60</v>
      </c>
      <c r="J173" s="751">
        <v>22</v>
      </c>
      <c r="K173" s="751">
        <v>1</v>
      </c>
      <c r="L173" s="752" t="s">
        <v>36</v>
      </c>
      <c r="M173" s="752" t="s">
        <v>44</v>
      </c>
      <c r="N173" s="752" t="s">
        <v>41</v>
      </c>
      <c r="O173" s="752" t="s">
        <v>41</v>
      </c>
      <c r="P173" s="752" t="s">
        <v>1091</v>
      </c>
      <c r="Q173" s="753">
        <v>19110</v>
      </c>
      <c r="R173" s="753">
        <v>19110</v>
      </c>
      <c r="S173" s="753">
        <v>20026</v>
      </c>
      <c r="T173" s="753">
        <v>20026</v>
      </c>
      <c r="U173" s="753">
        <v>1100.354</v>
      </c>
      <c r="V173" s="751">
        <v>2019</v>
      </c>
      <c r="W173" s="222"/>
      <c r="X173" s="186">
        <f t="shared" si="10"/>
        <v>18.199597584050224</v>
      </c>
      <c r="Y173" s="178" t="str">
        <f t="shared" si="8"/>
        <v/>
      </c>
      <c r="Z173" s="178" t="str">
        <f t="shared" si="9"/>
        <v/>
      </c>
      <c r="AA173" s="44"/>
      <c r="AB173" s="65"/>
    </row>
    <row r="174" spans="1:28" ht="25" hidden="1">
      <c r="A174" s="751">
        <v>2367</v>
      </c>
      <c r="B174" s="752" t="s">
        <v>35</v>
      </c>
      <c r="C174" s="751" t="s">
        <v>2960</v>
      </c>
      <c r="D174" s="752" t="s">
        <v>104</v>
      </c>
      <c r="E174" s="752" t="s">
        <v>2454</v>
      </c>
      <c r="F174" s="751">
        <v>62032</v>
      </c>
      <c r="G174" s="752" t="s">
        <v>98</v>
      </c>
      <c r="H174" s="752" t="s">
        <v>1245</v>
      </c>
      <c r="I174" s="752" t="s">
        <v>60</v>
      </c>
      <c r="J174" s="751">
        <v>22</v>
      </c>
      <c r="K174" s="751">
        <v>1</v>
      </c>
      <c r="L174" s="752" t="s">
        <v>36</v>
      </c>
      <c r="M174" s="752" t="s">
        <v>44</v>
      </c>
      <c r="N174" s="752" t="s">
        <v>431</v>
      </c>
      <c r="O174" s="752" t="s">
        <v>51</v>
      </c>
      <c r="P174" s="752" t="s">
        <v>47</v>
      </c>
      <c r="Q174" s="753">
        <v>0</v>
      </c>
      <c r="R174" s="753">
        <v>0</v>
      </c>
      <c r="S174" s="753">
        <v>0</v>
      </c>
      <c r="T174" s="753">
        <v>0</v>
      </c>
      <c r="U174" s="753">
        <v>0</v>
      </c>
      <c r="V174" s="751">
        <v>2019</v>
      </c>
      <c r="W174" s="222"/>
      <c r="X174" s="186"/>
      <c r="Y174" s="178" t="str">
        <f t="shared" si="8"/>
        <v/>
      </c>
      <c r="Z174" s="178" t="str">
        <f t="shared" si="9"/>
        <v/>
      </c>
      <c r="AA174" s="44"/>
      <c r="AB174" s="65"/>
    </row>
    <row r="175" spans="1:28" hidden="1">
      <c r="A175" s="751">
        <v>2367</v>
      </c>
      <c r="B175" s="752" t="s">
        <v>35</v>
      </c>
      <c r="C175" s="751" t="s">
        <v>2960</v>
      </c>
      <c r="D175" s="752" t="s">
        <v>104</v>
      </c>
      <c r="E175" s="752" t="s">
        <v>2454</v>
      </c>
      <c r="F175" s="751">
        <v>62032</v>
      </c>
      <c r="G175" s="752" t="s">
        <v>98</v>
      </c>
      <c r="H175" s="752" t="s">
        <v>1245</v>
      </c>
      <c r="I175" s="752" t="s">
        <v>60</v>
      </c>
      <c r="J175" s="751">
        <v>22</v>
      </c>
      <c r="K175" s="751">
        <v>1</v>
      </c>
      <c r="L175" s="752" t="s">
        <v>36</v>
      </c>
      <c r="M175" s="752" t="s">
        <v>44</v>
      </c>
      <c r="N175" s="752" t="s">
        <v>63</v>
      </c>
      <c r="O175" s="752" t="s">
        <v>63</v>
      </c>
      <c r="P175" s="752" t="s">
        <v>49</v>
      </c>
      <c r="Q175" s="753">
        <v>18882</v>
      </c>
      <c r="R175" s="753">
        <v>18882</v>
      </c>
      <c r="S175" s="753">
        <v>115073</v>
      </c>
      <c r="T175" s="753">
        <v>115073</v>
      </c>
      <c r="U175" s="753">
        <v>6236.1319999999996</v>
      </c>
      <c r="V175" s="751">
        <v>2019</v>
      </c>
      <c r="W175" s="222"/>
      <c r="X175" s="186">
        <f>IF(OR(K175&gt;3,T175=0,NOT(U175&gt;0)),"",T175/U175)</f>
        <v>18.452624158693244</v>
      </c>
      <c r="Y175" s="178" t="str">
        <f t="shared" si="8"/>
        <v/>
      </c>
      <c r="Z175" s="178" t="str">
        <f t="shared" si="9"/>
        <v/>
      </c>
      <c r="AA175" s="44"/>
      <c r="AB175" s="65"/>
    </row>
    <row r="176" spans="1:28" ht="25" hidden="1">
      <c r="A176" s="751">
        <v>2367</v>
      </c>
      <c r="B176" s="752" t="s">
        <v>35</v>
      </c>
      <c r="C176" s="751" t="s">
        <v>2960</v>
      </c>
      <c r="D176" s="752" t="s">
        <v>104</v>
      </c>
      <c r="E176" s="752" t="s">
        <v>2454</v>
      </c>
      <c r="F176" s="751">
        <v>62032</v>
      </c>
      <c r="G176" s="752" t="s">
        <v>98</v>
      </c>
      <c r="H176" s="752" t="s">
        <v>1245</v>
      </c>
      <c r="I176" s="752" t="s">
        <v>60</v>
      </c>
      <c r="J176" s="751">
        <v>22</v>
      </c>
      <c r="K176" s="751">
        <v>1</v>
      </c>
      <c r="L176" s="752" t="s">
        <v>36</v>
      </c>
      <c r="M176" s="752" t="s">
        <v>44</v>
      </c>
      <c r="N176" s="752" t="s">
        <v>71</v>
      </c>
      <c r="O176" s="752" t="s">
        <v>72</v>
      </c>
      <c r="P176" s="752" t="s">
        <v>47</v>
      </c>
      <c r="Q176" s="753">
        <v>376056</v>
      </c>
      <c r="R176" s="753">
        <v>376056</v>
      </c>
      <c r="S176" s="753">
        <v>3835771</v>
      </c>
      <c r="T176" s="753">
        <v>3835771</v>
      </c>
      <c r="U176" s="753">
        <v>213975.95</v>
      </c>
      <c r="V176" s="751">
        <v>2019</v>
      </c>
      <c r="W176" s="222"/>
      <c r="X176" s="186">
        <f>IF(OR(K176&gt;3,T176=0,NOT(U176&gt;0)),"",T176/U176)</f>
        <v>17.926178152264306</v>
      </c>
      <c r="Y176" s="178" t="str">
        <f t="shared" si="8"/>
        <v/>
      </c>
      <c r="Z176" s="178" t="str">
        <f t="shared" si="9"/>
        <v/>
      </c>
      <c r="AA176" s="44"/>
      <c r="AB176" s="65"/>
    </row>
    <row r="177" spans="1:28" hidden="1">
      <c r="A177" s="751">
        <v>2368</v>
      </c>
      <c r="B177" s="752" t="s">
        <v>35</v>
      </c>
      <c r="C177" s="751" t="s">
        <v>2960</v>
      </c>
      <c r="D177" s="752" t="s">
        <v>1645</v>
      </c>
      <c r="E177" s="752" t="s">
        <v>2453</v>
      </c>
      <c r="F177" s="751">
        <v>62775</v>
      </c>
      <c r="G177" s="752" t="s">
        <v>98</v>
      </c>
      <c r="H177" s="752" t="s">
        <v>1245</v>
      </c>
      <c r="I177" s="752" t="s">
        <v>60</v>
      </c>
      <c r="J177" s="751">
        <v>22</v>
      </c>
      <c r="K177" s="751">
        <v>1</v>
      </c>
      <c r="L177" s="752" t="s">
        <v>36</v>
      </c>
      <c r="M177" s="752" t="s">
        <v>37</v>
      </c>
      <c r="N177" s="752" t="s">
        <v>38</v>
      </c>
      <c r="O177" s="752" t="s">
        <v>39</v>
      </c>
      <c r="P177" s="752" t="s">
        <v>1238</v>
      </c>
      <c r="Q177" s="753">
        <v>0</v>
      </c>
      <c r="R177" s="753">
        <v>0</v>
      </c>
      <c r="S177" s="753">
        <v>948064</v>
      </c>
      <c r="T177" s="753">
        <v>948064</v>
      </c>
      <c r="U177" s="753">
        <v>106476</v>
      </c>
      <c r="V177" s="751">
        <v>2019</v>
      </c>
      <c r="W177" s="222"/>
      <c r="X177" s="186">
        <f>IF(OR(K177&gt;3,T177=0,NOT(U177&gt;0)),"",T177/U177)</f>
        <v>8.9040159284721447</v>
      </c>
      <c r="Y177" s="178" t="str">
        <f t="shared" si="8"/>
        <v/>
      </c>
      <c r="Z177" s="178" t="str">
        <f t="shared" si="9"/>
        <v/>
      </c>
      <c r="AA177" s="44"/>
      <c r="AB177" s="65"/>
    </row>
    <row r="178" spans="1:28" hidden="1">
      <c r="A178" s="751">
        <v>2369</v>
      </c>
      <c r="B178" s="752" t="s">
        <v>35</v>
      </c>
      <c r="C178" s="751" t="s">
        <v>2960</v>
      </c>
      <c r="D178" s="752" t="s">
        <v>646</v>
      </c>
      <c r="E178" s="752" t="s">
        <v>2454</v>
      </c>
      <c r="F178" s="751">
        <v>62032</v>
      </c>
      <c r="G178" s="752" t="s">
        <v>98</v>
      </c>
      <c r="H178" s="752" t="s">
        <v>1245</v>
      </c>
      <c r="I178" s="752" t="s">
        <v>60</v>
      </c>
      <c r="J178" s="751">
        <v>22</v>
      </c>
      <c r="K178" s="751">
        <v>1</v>
      </c>
      <c r="L178" s="752" t="s">
        <v>36</v>
      </c>
      <c r="M178" s="752" t="s">
        <v>52</v>
      </c>
      <c r="N178" s="752" t="s">
        <v>48</v>
      </c>
      <c r="O178" s="752" t="s">
        <v>48</v>
      </c>
      <c r="P178" s="752" t="s">
        <v>49</v>
      </c>
      <c r="Q178" s="753">
        <v>0</v>
      </c>
      <c r="R178" s="753">
        <v>0</v>
      </c>
      <c r="S178" s="753">
        <v>0</v>
      </c>
      <c r="T178" s="753">
        <v>0</v>
      </c>
      <c r="U178" s="753">
        <v>0</v>
      </c>
      <c r="V178" s="751">
        <v>2019</v>
      </c>
      <c r="W178" s="222"/>
      <c r="X178" s="186" t="str">
        <f>IF(OR(K178&gt;3,T178=0,NOT(U178&gt;0)),"",T178/U178)</f>
        <v/>
      </c>
      <c r="Y178" s="178" t="str">
        <f t="shared" si="8"/>
        <v/>
      </c>
      <c r="Z178" s="178" t="str">
        <f t="shared" si="9"/>
        <v/>
      </c>
      <c r="AA178" s="44"/>
      <c r="AB178" s="65"/>
    </row>
    <row r="179" spans="1:28" hidden="1">
      <c r="A179" s="751">
        <v>2369</v>
      </c>
      <c r="B179" s="752" t="s">
        <v>35</v>
      </c>
      <c r="C179" s="751" t="s">
        <v>2960</v>
      </c>
      <c r="D179" s="752" t="s">
        <v>646</v>
      </c>
      <c r="E179" s="752" t="s">
        <v>2454</v>
      </c>
      <c r="F179" s="751">
        <v>62032</v>
      </c>
      <c r="G179" s="752" t="s">
        <v>98</v>
      </c>
      <c r="H179" s="752" t="s">
        <v>1245</v>
      </c>
      <c r="I179" s="752" t="s">
        <v>60</v>
      </c>
      <c r="J179" s="751">
        <v>22</v>
      </c>
      <c r="K179" s="751">
        <v>1</v>
      </c>
      <c r="L179" s="752" t="s">
        <v>36</v>
      </c>
      <c r="M179" s="752" t="s">
        <v>52</v>
      </c>
      <c r="N179" s="752" t="s">
        <v>68</v>
      </c>
      <c r="O179" s="752" t="s">
        <v>69</v>
      </c>
      <c r="P179" s="752" t="s">
        <v>49</v>
      </c>
      <c r="Q179" s="753">
        <v>427</v>
      </c>
      <c r="R179" s="753">
        <v>427</v>
      </c>
      <c r="S179" s="753">
        <v>2354</v>
      </c>
      <c r="T179" s="753">
        <v>2354</v>
      </c>
      <c r="U179" s="753">
        <v>159</v>
      </c>
      <c r="V179" s="751">
        <v>2019</v>
      </c>
      <c r="W179" s="222"/>
      <c r="X179" s="186"/>
      <c r="Y179" s="178" t="str">
        <f t="shared" si="8"/>
        <v/>
      </c>
      <c r="Z179" s="178" t="str">
        <f t="shared" si="9"/>
        <v/>
      </c>
      <c r="AA179" s="44"/>
      <c r="AB179" s="65"/>
    </row>
    <row r="180" spans="1:28" hidden="1">
      <c r="A180" s="751">
        <v>2480</v>
      </c>
      <c r="B180" s="752" t="s">
        <v>35</v>
      </c>
      <c r="C180" s="751" t="s">
        <v>2960</v>
      </c>
      <c r="D180" s="752" t="s">
        <v>105</v>
      </c>
      <c r="E180" s="752" t="s">
        <v>1646</v>
      </c>
      <c r="F180" s="751">
        <v>58971</v>
      </c>
      <c r="G180" s="752" t="s">
        <v>59</v>
      </c>
      <c r="H180" s="752" t="s">
        <v>1244</v>
      </c>
      <c r="I180" s="752" t="s">
        <v>60</v>
      </c>
      <c r="J180" s="751">
        <v>22</v>
      </c>
      <c r="K180" s="751">
        <v>2</v>
      </c>
      <c r="L180" s="752" t="s">
        <v>54</v>
      </c>
      <c r="M180" s="752" t="s">
        <v>53</v>
      </c>
      <c r="N180" s="752" t="s">
        <v>48</v>
      </c>
      <c r="O180" s="752" t="s">
        <v>48</v>
      </c>
      <c r="P180" s="752" t="s">
        <v>49</v>
      </c>
      <c r="Q180" s="753">
        <v>48</v>
      </c>
      <c r="R180" s="753">
        <v>48</v>
      </c>
      <c r="S180" s="753">
        <v>282</v>
      </c>
      <c r="T180" s="753">
        <v>282</v>
      </c>
      <c r="U180" s="753">
        <v>28</v>
      </c>
      <c r="V180" s="751">
        <v>2019</v>
      </c>
      <c r="W180" s="222"/>
      <c r="X180" s="186"/>
      <c r="Y180" s="178" t="str">
        <f t="shared" si="8"/>
        <v/>
      </c>
      <c r="Z180" s="178" t="str">
        <f t="shared" si="9"/>
        <v/>
      </c>
      <c r="AA180" s="44"/>
      <c r="AB180" s="65"/>
    </row>
    <row r="181" spans="1:28" hidden="1">
      <c r="A181" s="751">
        <v>2480</v>
      </c>
      <c r="B181" s="752" t="s">
        <v>35</v>
      </c>
      <c r="C181" s="751" t="s">
        <v>2960</v>
      </c>
      <c r="D181" s="752" t="s">
        <v>105</v>
      </c>
      <c r="E181" s="752" t="s">
        <v>1646</v>
      </c>
      <c r="F181" s="751">
        <v>58971</v>
      </c>
      <c r="G181" s="752" t="s">
        <v>59</v>
      </c>
      <c r="H181" s="752" t="s">
        <v>1244</v>
      </c>
      <c r="I181" s="752" t="s">
        <v>60</v>
      </c>
      <c r="J181" s="751">
        <v>22</v>
      </c>
      <c r="K181" s="751">
        <v>2</v>
      </c>
      <c r="L181" s="752" t="s">
        <v>54</v>
      </c>
      <c r="M181" s="752" t="s">
        <v>44</v>
      </c>
      <c r="N181" s="752" t="s">
        <v>41</v>
      </c>
      <c r="O181" s="752" t="s">
        <v>41</v>
      </c>
      <c r="P181" s="752" t="s">
        <v>1091</v>
      </c>
      <c r="Q181" s="753">
        <v>108284</v>
      </c>
      <c r="R181" s="753">
        <v>108284</v>
      </c>
      <c r="S181" s="753">
        <v>110992</v>
      </c>
      <c r="T181" s="753">
        <v>110992</v>
      </c>
      <c r="U181" s="753">
        <v>9177</v>
      </c>
      <c r="V181" s="751">
        <v>2019</v>
      </c>
      <c r="W181" s="222" t="s">
        <v>2666</v>
      </c>
      <c r="X181" s="186"/>
      <c r="Y181" s="178" t="str">
        <f t="shared" si="8"/>
        <v/>
      </c>
      <c r="Z181" s="178" t="str">
        <f t="shared" si="9"/>
        <v/>
      </c>
      <c r="AA181" s="44"/>
      <c r="AB181" s="65"/>
    </row>
    <row r="182" spans="1:28" hidden="1">
      <c r="A182" s="751">
        <v>2480</v>
      </c>
      <c r="B182" s="752" t="s">
        <v>35</v>
      </c>
      <c r="C182" s="751" t="s">
        <v>2960</v>
      </c>
      <c r="D182" s="752" t="s">
        <v>105</v>
      </c>
      <c r="E182" s="752" t="s">
        <v>1646</v>
      </c>
      <c r="F182" s="751">
        <v>58971</v>
      </c>
      <c r="G182" s="752" t="s">
        <v>59</v>
      </c>
      <c r="H182" s="752" t="s">
        <v>1244</v>
      </c>
      <c r="I182" s="752" t="s">
        <v>60</v>
      </c>
      <c r="J182" s="751">
        <v>22</v>
      </c>
      <c r="K182" s="751">
        <v>2</v>
      </c>
      <c r="L182" s="752" t="s">
        <v>54</v>
      </c>
      <c r="M182" s="752" t="s">
        <v>44</v>
      </c>
      <c r="N182" s="752" t="s">
        <v>63</v>
      </c>
      <c r="O182" s="752" t="s">
        <v>63</v>
      </c>
      <c r="P182" s="752" t="s">
        <v>49</v>
      </c>
      <c r="Q182" s="753">
        <v>0</v>
      </c>
      <c r="R182" s="753">
        <v>0</v>
      </c>
      <c r="S182" s="753">
        <v>0</v>
      </c>
      <c r="T182" s="753">
        <v>0</v>
      </c>
      <c r="U182" s="753">
        <v>0</v>
      </c>
      <c r="V182" s="751">
        <v>2019</v>
      </c>
      <c r="W182" s="222" t="s">
        <v>2666</v>
      </c>
      <c r="X182" s="186" t="str">
        <f>IF(OR(K182&gt;3,T182=0,NOT(U182&gt;0)),"",T182/U182)</f>
        <v/>
      </c>
      <c r="Y182" s="178" t="str">
        <f t="shared" si="8"/>
        <v/>
      </c>
      <c r="Z182" s="178" t="str">
        <f t="shared" si="9"/>
        <v/>
      </c>
      <c r="AA182" s="44"/>
      <c r="AB182" s="65"/>
    </row>
    <row r="183" spans="1:28" hidden="1">
      <c r="A183" s="751">
        <v>2481</v>
      </c>
      <c r="B183" s="752" t="s">
        <v>35</v>
      </c>
      <c r="C183" s="751" t="s">
        <v>2960</v>
      </c>
      <c r="D183" s="752" t="s">
        <v>647</v>
      </c>
      <c r="E183" s="752" t="s">
        <v>597</v>
      </c>
      <c r="F183" s="751">
        <v>3249</v>
      </c>
      <c r="G183" s="752" t="s">
        <v>59</v>
      </c>
      <c r="H183" s="752" t="s">
        <v>1244</v>
      </c>
      <c r="I183" s="752" t="s">
        <v>60</v>
      </c>
      <c r="J183" s="751">
        <v>22</v>
      </c>
      <c r="K183" s="751">
        <v>1</v>
      </c>
      <c r="L183" s="752" t="s">
        <v>36</v>
      </c>
      <c r="M183" s="752" t="s">
        <v>37</v>
      </c>
      <c r="N183" s="752" t="s">
        <v>38</v>
      </c>
      <c r="O183" s="752" t="s">
        <v>39</v>
      </c>
      <c r="P183" s="752" t="s">
        <v>1238</v>
      </c>
      <c r="Q183" s="753">
        <v>0</v>
      </c>
      <c r="R183" s="753">
        <v>0</v>
      </c>
      <c r="S183" s="753">
        <v>117417</v>
      </c>
      <c r="T183" s="753">
        <v>117417</v>
      </c>
      <c r="U183" s="753">
        <v>13187</v>
      </c>
      <c r="V183" s="751">
        <v>2019</v>
      </c>
      <c r="W183" s="222"/>
      <c r="X183" s="186"/>
      <c r="Y183" s="178" t="str">
        <f t="shared" si="8"/>
        <v/>
      </c>
      <c r="Z183" s="178" t="str">
        <f t="shared" si="9"/>
        <v/>
      </c>
      <c r="AA183" s="44"/>
      <c r="AB183" s="65"/>
    </row>
    <row r="184" spans="1:28" hidden="1">
      <c r="A184" s="751">
        <v>2483</v>
      </c>
      <c r="B184" s="752" t="s">
        <v>35</v>
      </c>
      <c r="C184" s="751" t="s">
        <v>2960</v>
      </c>
      <c r="D184" s="752" t="s">
        <v>648</v>
      </c>
      <c r="E184" s="752" t="s">
        <v>58</v>
      </c>
      <c r="F184" s="751">
        <v>15296</v>
      </c>
      <c r="G184" s="752" t="s">
        <v>59</v>
      </c>
      <c r="H184" s="752" t="s">
        <v>1244</v>
      </c>
      <c r="I184" s="752" t="s">
        <v>60</v>
      </c>
      <c r="J184" s="751">
        <v>22</v>
      </c>
      <c r="K184" s="751">
        <v>1</v>
      </c>
      <c r="L184" s="752" t="s">
        <v>36</v>
      </c>
      <c r="M184" s="752" t="s">
        <v>37</v>
      </c>
      <c r="N184" s="752" t="s">
        <v>38</v>
      </c>
      <c r="O184" s="752" t="s">
        <v>39</v>
      </c>
      <c r="P184" s="752" t="s">
        <v>1238</v>
      </c>
      <c r="Q184" s="753">
        <v>0</v>
      </c>
      <c r="R184" s="753">
        <v>0</v>
      </c>
      <c r="S184" s="753">
        <v>156995</v>
      </c>
      <c r="T184" s="753">
        <v>156995</v>
      </c>
      <c r="U184" s="753">
        <v>17632</v>
      </c>
      <c r="V184" s="751">
        <v>2019</v>
      </c>
      <c r="W184" s="222"/>
      <c r="X184" s="186">
        <f>IF(OR(K184&gt;3,T184=0,NOT(U184&gt;0)),"",T184/U184)</f>
        <v>8.9039813974591659</v>
      </c>
      <c r="Y184" s="178" t="str">
        <f t="shared" si="8"/>
        <v/>
      </c>
      <c r="Z184" s="178" t="str">
        <f t="shared" si="9"/>
        <v/>
      </c>
      <c r="AA184" s="44"/>
      <c r="AB184" s="65"/>
    </row>
    <row r="185" spans="1:28" hidden="1">
      <c r="A185" s="751">
        <v>2485</v>
      </c>
      <c r="B185" s="752" t="s">
        <v>35</v>
      </c>
      <c r="C185" s="751" t="s">
        <v>2960</v>
      </c>
      <c r="D185" s="752" t="s">
        <v>649</v>
      </c>
      <c r="E185" s="752" t="s">
        <v>597</v>
      </c>
      <c r="F185" s="751">
        <v>3249</v>
      </c>
      <c r="G185" s="752" t="s">
        <v>59</v>
      </c>
      <c r="H185" s="752" t="s">
        <v>1244</v>
      </c>
      <c r="I185" s="752" t="s">
        <v>60</v>
      </c>
      <c r="J185" s="751">
        <v>22</v>
      </c>
      <c r="K185" s="751">
        <v>1</v>
      </c>
      <c r="L185" s="752" t="s">
        <v>36</v>
      </c>
      <c r="M185" s="752" t="s">
        <v>52</v>
      </c>
      <c r="N185" s="752" t="s">
        <v>78</v>
      </c>
      <c r="O185" s="752" t="s">
        <v>69</v>
      </c>
      <c r="P185" s="752" t="s">
        <v>49</v>
      </c>
      <c r="Q185" s="753">
        <v>403</v>
      </c>
      <c r="R185" s="753">
        <v>403</v>
      </c>
      <c r="S185" s="753">
        <v>2263</v>
      </c>
      <c r="T185" s="753">
        <v>2263</v>
      </c>
      <c r="U185" s="753">
        <v>140</v>
      </c>
      <c r="V185" s="751">
        <v>2019</v>
      </c>
      <c r="W185" s="222"/>
      <c r="X185" s="186"/>
      <c r="Y185" s="178" t="str">
        <f t="shared" si="8"/>
        <v/>
      </c>
      <c r="Z185" s="178" t="str">
        <f t="shared" si="9"/>
        <v/>
      </c>
      <c r="AA185" s="44"/>
      <c r="AB185" s="65"/>
    </row>
    <row r="186" spans="1:28" hidden="1">
      <c r="A186" s="751">
        <v>2486</v>
      </c>
      <c r="B186" s="752" t="s">
        <v>35</v>
      </c>
      <c r="C186" s="751" t="s">
        <v>2960</v>
      </c>
      <c r="D186" s="752" t="s">
        <v>650</v>
      </c>
      <c r="E186" s="752" t="s">
        <v>597</v>
      </c>
      <c r="F186" s="751">
        <v>3249</v>
      </c>
      <c r="G186" s="752" t="s">
        <v>59</v>
      </c>
      <c r="H186" s="752" t="s">
        <v>1244</v>
      </c>
      <c r="I186" s="752" t="s">
        <v>60</v>
      </c>
      <c r="J186" s="751">
        <v>22</v>
      </c>
      <c r="K186" s="751">
        <v>1</v>
      </c>
      <c r="L186" s="752" t="s">
        <v>36</v>
      </c>
      <c r="M186" s="752" t="s">
        <v>37</v>
      </c>
      <c r="N186" s="752" t="s">
        <v>38</v>
      </c>
      <c r="O186" s="752" t="s">
        <v>39</v>
      </c>
      <c r="P186" s="752" t="s">
        <v>1238</v>
      </c>
      <c r="Q186" s="753">
        <v>0</v>
      </c>
      <c r="R186" s="753">
        <v>0</v>
      </c>
      <c r="S186" s="753">
        <v>522300</v>
      </c>
      <c r="T186" s="753">
        <v>522300</v>
      </c>
      <c r="U186" s="753">
        <v>58659</v>
      </c>
      <c r="V186" s="751">
        <v>2019</v>
      </c>
      <c r="W186" s="222"/>
      <c r="X186" s="186"/>
      <c r="Y186" s="178" t="str">
        <f t="shared" si="8"/>
        <v/>
      </c>
      <c r="Z186" s="178" t="str">
        <f t="shared" si="9"/>
        <v/>
      </c>
      <c r="AA186" s="44"/>
      <c r="AB186" s="65"/>
    </row>
    <row r="187" spans="1:28" hidden="1">
      <c r="A187" s="751">
        <v>2487</v>
      </c>
      <c r="B187" s="752" t="s">
        <v>35</v>
      </c>
      <c r="C187" s="751" t="s">
        <v>2960</v>
      </c>
      <c r="D187" s="752" t="s">
        <v>651</v>
      </c>
      <c r="E187" s="752" t="s">
        <v>597</v>
      </c>
      <c r="F187" s="751">
        <v>3249</v>
      </c>
      <c r="G187" s="752" t="s">
        <v>59</v>
      </c>
      <c r="H187" s="752" t="s">
        <v>1244</v>
      </c>
      <c r="I187" s="752" t="s">
        <v>60</v>
      </c>
      <c r="J187" s="751">
        <v>22</v>
      </c>
      <c r="K187" s="751">
        <v>1</v>
      </c>
      <c r="L187" s="752" t="s">
        <v>36</v>
      </c>
      <c r="M187" s="752" t="s">
        <v>52</v>
      </c>
      <c r="N187" s="752" t="s">
        <v>78</v>
      </c>
      <c r="O187" s="752" t="s">
        <v>69</v>
      </c>
      <c r="P187" s="752" t="s">
        <v>49</v>
      </c>
      <c r="Q187" s="753">
        <v>21</v>
      </c>
      <c r="R187" s="753">
        <v>21</v>
      </c>
      <c r="S187" s="753">
        <v>118</v>
      </c>
      <c r="T187" s="753">
        <v>118</v>
      </c>
      <c r="U187" s="753">
        <v>8.5470000000000006</v>
      </c>
      <c r="V187" s="751">
        <v>2019</v>
      </c>
      <c r="W187" s="222"/>
      <c r="X187" s="186">
        <f>IF(OR(K187&gt;3,T187=0,NOT(U187&gt;0)),"",T187/U187)</f>
        <v>13.806013806013805</v>
      </c>
      <c r="Y187" s="178" t="str">
        <f t="shared" si="8"/>
        <v/>
      </c>
      <c r="Z187" s="178" t="str">
        <f t="shared" si="9"/>
        <v/>
      </c>
      <c r="AA187" s="44"/>
      <c r="AB187" s="65"/>
    </row>
    <row r="188" spans="1:28" hidden="1">
      <c r="A188" s="751">
        <v>2487</v>
      </c>
      <c r="B188" s="752" t="s">
        <v>35</v>
      </c>
      <c r="C188" s="751" t="s">
        <v>2960</v>
      </c>
      <c r="D188" s="752" t="s">
        <v>651</v>
      </c>
      <c r="E188" s="752" t="s">
        <v>597</v>
      </c>
      <c r="F188" s="751">
        <v>3249</v>
      </c>
      <c r="G188" s="752" t="s">
        <v>59</v>
      </c>
      <c r="H188" s="752" t="s">
        <v>1244</v>
      </c>
      <c r="I188" s="752" t="s">
        <v>60</v>
      </c>
      <c r="J188" s="751">
        <v>22</v>
      </c>
      <c r="K188" s="751">
        <v>1</v>
      </c>
      <c r="L188" s="752" t="s">
        <v>36</v>
      </c>
      <c r="M188" s="752" t="s">
        <v>52</v>
      </c>
      <c r="N188" s="752" t="s">
        <v>41</v>
      </c>
      <c r="O188" s="752" t="s">
        <v>41</v>
      </c>
      <c r="P188" s="752" t="s">
        <v>1091</v>
      </c>
      <c r="Q188" s="753">
        <v>10565</v>
      </c>
      <c r="R188" s="753">
        <v>10565</v>
      </c>
      <c r="S188" s="753">
        <v>10882</v>
      </c>
      <c r="T188" s="753">
        <v>10882</v>
      </c>
      <c r="U188" s="753">
        <v>789.45299999999997</v>
      </c>
      <c r="V188" s="751">
        <v>2019</v>
      </c>
      <c r="W188" s="222"/>
      <c r="X188" s="186"/>
      <c r="Y188" s="178" t="str">
        <f t="shared" si="8"/>
        <v/>
      </c>
      <c r="Z188" s="178" t="str">
        <f t="shared" si="9"/>
        <v/>
      </c>
      <c r="AA188" s="44"/>
      <c r="AB188" s="65"/>
    </row>
    <row r="189" spans="1:28" hidden="1">
      <c r="A189" s="751">
        <v>2490</v>
      </c>
      <c r="B189" s="752" t="s">
        <v>35</v>
      </c>
      <c r="C189" s="751" t="s">
        <v>2960</v>
      </c>
      <c r="D189" s="752" t="s">
        <v>106</v>
      </c>
      <c r="E189" s="752" t="s">
        <v>107</v>
      </c>
      <c r="F189" s="751">
        <v>13192</v>
      </c>
      <c r="G189" s="752" t="s">
        <v>59</v>
      </c>
      <c r="H189" s="752" t="s">
        <v>1244</v>
      </c>
      <c r="I189" s="752" t="s">
        <v>60</v>
      </c>
      <c r="J189" s="751">
        <v>22</v>
      </c>
      <c r="K189" s="751">
        <v>2</v>
      </c>
      <c r="L189" s="752" t="s">
        <v>54</v>
      </c>
      <c r="M189" s="752" t="s">
        <v>52</v>
      </c>
      <c r="N189" s="752" t="s">
        <v>41</v>
      </c>
      <c r="O189" s="752" t="s">
        <v>41</v>
      </c>
      <c r="P189" s="752" t="s">
        <v>1091</v>
      </c>
      <c r="Q189" s="753">
        <v>8128</v>
      </c>
      <c r="R189" s="753">
        <v>8128</v>
      </c>
      <c r="S189" s="753">
        <v>8365</v>
      </c>
      <c r="T189" s="753">
        <v>8365</v>
      </c>
      <c r="U189" s="753">
        <v>405</v>
      </c>
      <c r="V189" s="751">
        <v>2019</v>
      </c>
      <c r="W189" s="222"/>
      <c r="X189" s="186">
        <f t="shared" ref="X189:X230" si="11">IF(OR(K189&gt;3,T189=0,NOT(U189&gt;0)),"",T189/U189)</f>
        <v>20.654320987654319</v>
      </c>
      <c r="Y189" s="178" t="str">
        <f t="shared" si="8"/>
        <v/>
      </c>
      <c r="Z189" s="178" t="str">
        <f t="shared" si="9"/>
        <v/>
      </c>
      <c r="AA189" s="44"/>
      <c r="AB189" s="65"/>
    </row>
    <row r="190" spans="1:28" hidden="1">
      <c r="A190" s="751">
        <v>2490</v>
      </c>
      <c r="B190" s="752" t="s">
        <v>35</v>
      </c>
      <c r="C190" s="751" t="s">
        <v>2960</v>
      </c>
      <c r="D190" s="752" t="s">
        <v>106</v>
      </c>
      <c r="E190" s="752" t="s">
        <v>107</v>
      </c>
      <c r="F190" s="751">
        <v>13192</v>
      </c>
      <c r="G190" s="752" t="s">
        <v>59</v>
      </c>
      <c r="H190" s="752" t="s">
        <v>1244</v>
      </c>
      <c r="I190" s="752" t="s">
        <v>60</v>
      </c>
      <c r="J190" s="751">
        <v>22</v>
      </c>
      <c r="K190" s="751">
        <v>2</v>
      </c>
      <c r="L190" s="752" t="s">
        <v>54</v>
      </c>
      <c r="M190" s="752" t="s">
        <v>44</v>
      </c>
      <c r="N190" s="752" t="s">
        <v>41</v>
      </c>
      <c r="O190" s="752" t="s">
        <v>41</v>
      </c>
      <c r="P190" s="752" t="s">
        <v>1091</v>
      </c>
      <c r="Q190" s="753">
        <v>10119830</v>
      </c>
      <c r="R190" s="753">
        <v>10119830</v>
      </c>
      <c r="S190" s="753">
        <v>10560397</v>
      </c>
      <c r="T190" s="753">
        <v>10560397</v>
      </c>
      <c r="U190" s="753">
        <v>902931</v>
      </c>
      <c r="V190" s="751">
        <v>2019</v>
      </c>
      <c r="W190" s="222" t="s">
        <v>2666</v>
      </c>
      <c r="X190" s="186">
        <f t="shared" si="11"/>
        <v>11.695685495347927</v>
      </c>
      <c r="Y190" s="178" t="str">
        <f t="shared" si="8"/>
        <v/>
      </c>
      <c r="Z190" s="178" t="str">
        <f t="shared" si="9"/>
        <v/>
      </c>
      <c r="AA190" s="44"/>
      <c r="AB190" s="65"/>
    </row>
    <row r="191" spans="1:28" hidden="1">
      <c r="A191" s="751">
        <v>2493</v>
      </c>
      <c r="B191" s="752" t="s">
        <v>56</v>
      </c>
      <c r="C191" s="751" t="s">
        <v>2960</v>
      </c>
      <c r="D191" s="752" t="s">
        <v>108</v>
      </c>
      <c r="E191" s="752" t="s">
        <v>109</v>
      </c>
      <c r="F191" s="751">
        <v>4226</v>
      </c>
      <c r="G191" s="752" t="s">
        <v>59</v>
      </c>
      <c r="H191" s="752" t="s">
        <v>1244</v>
      </c>
      <c r="I191" s="752" t="s">
        <v>60</v>
      </c>
      <c r="J191" s="751">
        <v>22</v>
      </c>
      <c r="K191" s="751">
        <v>1</v>
      </c>
      <c r="L191" s="752" t="s">
        <v>36</v>
      </c>
      <c r="M191" s="752" t="s">
        <v>52</v>
      </c>
      <c r="N191" s="752" t="s">
        <v>48</v>
      </c>
      <c r="O191" s="752" t="s">
        <v>48</v>
      </c>
      <c r="P191" s="752" t="s">
        <v>49</v>
      </c>
      <c r="Q191" s="753">
        <v>9776</v>
      </c>
      <c r="R191" s="753">
        <v>6850</v>
      </c>
      <c r="S191" s="753">
        <v>55147</v>
      </c>
      <c r="T191" s="753">
        <v>38644</v>
      </c>
      <c r="U191" s="753">
        <v>4799.9849999999997</v>
      </c>
      <c r="V191" s="751">
        <v>2019</v>
      </c>
      <c r="W191" s="222"/>
      <c r="X191" s="186">
        <f t="shared" si="11"/>
        <v>8.0508584922661228</v>
      </c>
      <c r="Y191" s="178" t="str">
        <f t="shared" si="8"/>
        <v/>
      </c>
      <c r="Z191" s="178" t="str">
        <f t="shared" si="9"/>
        <v/>
      </c>
      <c r="AA191" s="44"/>
      <c r="AB191" s="65"/>
    </row>
    <row r="192" spans="1:28" hidden="1">
      <c r="A192" s="751">
        <v>2493</v>
      </c>
      <c r="B192" s="752" t="s">
        <v>56</v>
      </c>
      <c r="C192" s="751" t="s">
        <v>2960</v>
      </c>
      <c r="D192" s="752" t="s">
        <v>108</v>
      </c>
      <c r="E192" s="752" t="s">
        <v>109</v>
      </c>
      <c r="F192" s="751">
        <v>4226</v>
      </c>
      <c r="G192" s="752" t="s">
        <v>59</v>
      </c>
      <c r="H192" s="752" t="s">
        <v>1244</v>
      </c>
      <c r="I192" s="752" t="s">
        <v>60</v>
      </c>
      <c r="J192" s="751">
        <v>22</v>
      </c>
      <c r="K192" s="751">
        <v>1</v>
      </c>
      <c r="L192" s="752" t="s">
        <v>36</v>
      </c>
      <c r="M192" s="752" t="s">
        <v>52</v>
      </c>
      <c r="N192" s="752" t="s">
        <v>78</v>
      </c>
      <c r="O192" s="752" t="s">
        <v>69</v>
      </c>
      <c r="P192" s="752" t="s">
        <v>49</v>
      </c>
      <c r="Q192" s="753">
        <v>0</v>
      </c>
      <c r="R192" s="753">
        <v>0</v>
      </c>
      <c r="S192" s="753">
        <v>0</v>
      </c>
      <c r="T192" s="753">
        <v>0</v>
      </c>
      <c r="U192" s="753">
        <v>0</v>
      </c>
      <c r="V192" s="751">
        <v>2019</v>
      </c>
      <c r="W192" s="222"/>
      <c r="X192" s="186" t="str">
        <f t="shared" si="11"/>
        <v/>
      </c>
      <c r="Y192" s="178" t="str">
        <f t="shared" si="8"/>
        <v/>
      </c>
      <c r="Z192" s="178" t="str">
        <f t="shared" si="9"/>
        <v/>
      </c>
      <c r="AA192" s="44"/>
      <c r="AB192" s="65"/>
    </row>
    <row r="193" spans="1:28" hidden="1">
      <c r="A193" s="751">
        <v>2493</v>
      </c>
      <c r="B193" s="752" t="s">
        <v>56</v>
      </c>
      <c r="C193" s="751" t="s">
        <v>2960</v>
      </c>
      <c r="D193" s="752" t="s">
        <v>108</v>
      </c>
      <c r="E193" s="752" t="s">
        <v>109</v>
      </c>
      <c r="F193" s="751">
        <v>4226</v>
      </c>
      <c r="G193" s="752" t="s">
        <v>59</v>
      </c>
      <c r="H193" s="752" t="s">
        <v>1244</v>
      </c>
      <c r="I193" s="752" t="s">
        <v>60</v>
      </c>
      <c r="J193" s="751">
        <v>22</v>
      </c>
      <c r="K193" s="751">
        <v>1</v>
      </c>
      <c r="L193" s="752" t="s">
        <v>36</v>
      </c>
      <c r="M193" s="752" t="s">
        <v>52</v>
      </c>
      <c r="N193" s="752" t="s">
        <v>41</v>
      </c>
      <c r="O193" s="752" t="s">
        <v>41</v>
      </c>
      <c r="P193" s="752" t="s">
        <v>1091</v>
      </c>
      <c r="Q193" s="753">
        <v>23225059</v>
      </c>
      <c r="R193" s="753">
        <v>16868034</v>
      </c>
      <c r="S193" s="753">
        <v>24265777</v>
      </c>
      <c r="T193" s="753">
        <v>17627110</v>
      </c>
      <c r="U193" s="753">
        <v>2197082</v>
      </c>
      <c r="V193" s="751">
        <v>2019</v>
      </c>
      <c r="W193" s="222"/>
      <c r="X193" s="186">
        <f t="shared" si="11"/>
        <v>8.0229640951043244</v>
      </c>
      <c r="Y193" s="178" t="str">
        <f t="shared" si="8"/>
        <v/>
      </c>
      <c r="Z193" s="178" t="str">
        <f t="shared" si="9"/>
        <v/>
      </c>
      <c r="AA193" s="44"/>
      <c r="AB193" s="65"/>
    </row>
    <row r="194" spans="1:28" hidden="1">
      <c r="A194" s="751">
        <v>2493</v>
      </c>
      <c r="B194" s="752" t="s">
        <v>56</v>
      </c>
      <c r="C194" s="751" t="s">
        <v>2960</v>
      </c>
      <c r="D194" s="752" t="s">
        <v>108</v>
      </c>
      <c r="E194" s="752" t="s">
        <v>109</v>
      </c>
      <c r="F194" s="751">
        <v>4226</v>
      </c>
      <c r="G194" s="752" t="s">
        <v>59</v>
      </c>
      <c r="H194" s="752" t="s">
        <v>1244</v>
      </c>
      <c r="I194" s="752" t="s">
        <v>60</v>
      </c>
      <c r="J194" s="751">
        <v>22</v>
      </c>
      <c r="K194" s="751">
        <v>1</v>
      </c>
      <c r="L194" s="752" t="s">
        <v>36</v>
      </c>
      <c r="M194" s="752" t="s">
        <v>44</v>
      </c>
      <c r="N194" s="752" t="s">
        <v>41</v>
      </c>
      <c r="O194" s="752" t="s">
        <v>41</v>
      </c>
      <c r="P194" s="752" t="s">
        <v>1091</v>
      </c>
      <c r="Q194" s="753">
        <v>7381033</v>
      </c>
      <c r="R194" s="753">
        <v>4689933</v>
      </c>
      <c r="S194" s="753">
        <v>7704559</v>
      </c>
      <c r="T194" s="753">
        <v>4894421</v>
      </c>
      <c r="U194" s="753">
        <v>601823.43999999994</v>
      </c>
      <c r="V194" s="751">
        <v>2019</v>
      </c>
      <c r="W194" s="222"/>
      <c r="X194" s="186">
        <f t="shared" si="11"/>
        <v>8.1326526597235897</v>
      </c>
      <c r="Y194" s="178" t="str">
        <f t="shared" si="8"/>
        <v/>
      </c>
      <c r="Z194" s="178" t="str">
        <f t="shared" si="9"/>
        <v/>
      </c>
      <c r="AA194" s="44"/>
      <c r="AB194" s="65"/>
    </row>
    <row r="195" spans="1:28" hidden="1">
      <c r="A195" s="751">
        <v>2493</v>
      </c>
      <c r="B195" s="752" t="s">
        <v>56</v>
      </c>
      <c r="C195" s="751" t="s">
        <v>2960</v>
      </c>
      <c r="D195" s="752" t="s">
        <v>108</v>
      </c>
      <c r="E195" s="752" t="s">
        <v>109</v>
      </c>
      <c r="F195" s="751">
        <v>4226</v>
      </c>
      <c r="G195" s="752" t="s">
        <v>59</v>
      </c>
      <c r="H195" s="752" t="s">
        <v>1244</v>
      </c>
      <c r="I195" s="752" t="s">
        <v>60</v>
      </c>
      <c r="J195" s="751">
        <v>22</v>
      </c>
      <c r="K195" s="751">
        <v>1</v>
      </c>
      <c r="L195" s="752" t="s">
        <v>36</v>
      </c>
      <c r="M195" s="752" t="s">
        <v>44</v>
      </c>
      <c r="N195" s="752" t="s">
        <v>63</v>
      </c>
      <c r="O195" s="752" t="s">
        <v>63</v>
      </c>
      <c r="P195" s="752" t="s">
        <v>49</v>
      </c>
      <c r="Q195" s="753">
        <v>37035</v>
      </c>
      <c r="R195" s="753">
        <v>20208</v>
      </c>
      <c r="S195" s="753">
        <v>221677</v>
      </c>
      <c r="T195" s="753">
        <v>120932</v>
      </c>
      <c r="U195" s="753">
        <v>15061.562</v>
      </c>
      <c r="V195" s="751">
        <v>2019</v>
      </c>
      <c r="W195" s="222"/>
      <c r="X195" s="186">
        <f t="shared" si="11"/>
        <v>8.0291805059793937</v>
      </c>
      <c r="Y195" s="178" t="str">
        <f t="shared" si="8"/>
        <v/>
      </c>
      <c r="Z195" s="178" t="str">
        <f t="shared" si="9"/>
        <v/>
      </c>
      <c r="AA195" s="44"/>
      <c r="AB195" s="65"/>
    </row>
    <row r="196" spans="1:28" ht="25" hidden="1">
      <c r="A196" s="751">
        <v>2494</v>
      </c>
      <c r="B196" s="752" t="s">
        <v>35</v>
      </c>
      <c r="C196" s="751" t="s">
        <v>2960</v>
      </c>
      <c r="D196" s="752" t="s">
        <v>110</v>
      </c>
      <c r="E196" s="752" t="s">
        <v>111</v>
      </c>
      <c r="F196" s="751">
        <v>54863</v>
      </c>
      <c r="G196" s="752" t="s">
        <v>59</v>
      </c>
      <c r="H196" s="752" t="s">
        <v>1244</v>
      </c>
      <c r="I196" s="752" t="s">
        <v>60</v>
      </c>
      <c r="J196" s="751">
        <v>22</v>
      </c>
      <c r="K196" s="751">
        <v>2</v>
      </c>
      <c r="L196" s="752" t="s">
        <v>54</v>
      </c>
      <c r="M196" s="752" t="s">
        <v>52</v>
      </c>
      <c r="N196" s="752" t="s">
        <v>48</v>
      </c>
      <c r="O196" s="752" t="s">
        <v>48</v>
      </c>
      <c r="P196" s="752" t="s">
        <v>49</v>
      </c>
      <c r="Q196" s="753">
        <v>3500</v>
      </c>
      <c r="R196" s="753">
        <v>3500</v>
      </c>
      <c r="S196" s="753">
        <v>20404</v>
      </c>
      <c r="T196" s="753">
        <v>20404</v>
      </c>
      <c r="U196" s="753">
        <v>1176.223</v>
      </c>
      <c r="V196" s="751">
        <v>2019</v>
      </c>
      <c r="W196" s="222"/>
      <c r="X196" s="186">
        <f t="shared" si="11"/>
        <v>17.347050686817042</v>
      </c>
      <c r="Y196" s="178" t="str">
        <f t="shared" si="8"/>
        <v/>
      </c>
      <c r="Z196" s="178" t="str">
        <f t="shared" si="9"/>
        <v/>
      </c>
      <c r="AA196" s="44"/>
      <c r="AB196" s="65"/>
    </row>
    <row r="197" spans="1:28" ht="25" hidden="1">
      <c r="A197" s="751">
        <v>2494</v>
      </c>
      <c r="B197" s="752" t="s">
        <v>35</v>
      </c>
      <c r="C197" s="751" t="s">
        <v>2960</v>
      </c>
      <c r="D197" s="752" t="s">
        <v>110</v>
      </c>
      <c r="E197" s="752" t="s">
        <v>111</v>
      </c>
      <c r="F197" s="751">
        <v>54863</v>
      </c>
      <c r="G197" s="752" t="s">
        <v>59</v>
      </c>
      <c r="H197" s="752" t="s">
        <v>1244</v>
      </c>
      <c r="I197" s="752" t="s">
        <v>60</v>
      </c>
      <c r="J197" s="751">
        <v>22</v>
      </c>
      <c r="K197" s="751">
        <v>2</v>
      </c>
      <c r="L197" s="752" t="s">
        <v>54</v>
      </c>
      <c r="M197" s="752" t="s">
        <v>52</v>
      </c>
      <c r="N197" s="752" t="s">
        <v>41</v>
      </c>
      <c r="O197" s="752" t="s">
        <v>41</v>
      </c>
      <c r="P197" s="752" t="s">
        <v>1091</v>
      </c>
      <c r="Q197" s="753">
        <v>105970</v>
      </c>
      <c r="R197" s="753">
        <v>105970</v>
      </c>
      <c r="S197" s="753">
        <v>109151</v>
      </c>
      <c r="T197" s="753">
        <v>109151</v>
      </c>
      <c r="U197" s="753">
        <v>6291.777</v>
      </c>
      <c r="V197" s="751">
        <v>2019</v>
      </c>
      <c r="W197" s="222"/>
      <c r="X197" s="186">
        <f t="shared" si="11"/>
        <v>17.348199085886229</v>
      </c>
      <c r="Y197" s="178" t="str">
        <f t="shared" si="8"/>
        <v/>
      </c>
      <c r="Z197" s="178" t="str">
        <f t="shared" si="9"/>
        <v/>
      </c>
      <c r="AA197" s="44"/>
      <c r="AB197" s="65"/>
    </row>
    <row r="198" spans="1:28" ht="25" hidden="1">
      <c r="A198" s="751">
        <v>2494</v>
      </c>
      <c r="B198" s="752" t="s">
        <v>35</v>
      </c>
      <c r="C198" s="751" t="s">
        <v>2960</v>
      </c>
      <c r="D198" s="752" t="s">
        <v>110</v>
      </c>
      <c r="E198" s="752" t="s">
        <v>111</v>
      </c>
      <c r="F198" s="751">
        <v>54863</v>
      </c>
      <c r="G198" s="752" t="s">
        <v>59</v>
      </c>
      <c r="H198" s="752" t="s">
        <v>1244</v>
      </c>
      <c r="I198" s="752" t="s">
        <v>60</v>
      </c>
      <c r="J198" s="751">
        <v>22</v>
      </c>
      <c r="K198" s="751">
        <v>2</v>
      </c>
      <c r="L198" s="752" t="s">
        <v>54</v>
      </c>
      <c r="M198" s="752" t="s">
        <v>52</v>
      </c>
      <c r="N198" s="752" t="s">
        <v>63</v>
      </c>
      <c r="O198" s="752" t="s">
        <v>63</v>
      </c>
      <c r="P198" s="752" t="s">
        <v>49</v>
      </c>
      <c r="Q198" s="753">
        <v>0</v>
      </c>
      <c r="R198" s="753">
        <v>0</v>
      </c>
      <c r="S198" s="753">
        <v>0</v>
      </c>
      <c r="T198" s="753">
        <v>0</v>
      </c>
      <c r="U198" s="753">
        <v>0</v>
      </c>
      <c r="V198" s="751">
        <v>2019</v>
      </c>
      <c r="W198" s="222"/>
      <c r="X198" s="186" t="str">
        <f t="shared" si="11"/>
        <v/>
      </c>
      <c r="Y198" s="178" t="str">
        <f t="shared" si="8"/>
        <v/>
      </c>
      <c r="Z198" s="178" t="str">
        <f t="shared" si="9"/>
        <v/>
      </c>
      <c r="AA198" s="44"/>
      <c r="AB198" s="65"/>
    </row>
    <row r="199" spans="1:28" hidden="1">
      <c r="A199" s="751">
        <v>2496</v>
      </c>
      <c r="B199" s="752" t="s">
        <v>35</v>
      </c>
      <c r="C199" s="751" t="s">
        <v>2960</v>
      </c>
      <c r="D199" s="752" t="s">
        <v>652</v>
      </c>
      <c r="E199" s="752" t="s">
        <v>109</v>
      </c>
      <c r="F199" s="751">
        <v>4226</v>
      </c>
      <c r="G199" s="752" t="s">
        <v>59</v>
      </c>
      <c r="H199" s="752" t="s">
        <v>1244</v>
      </c>
      <c r="I199" s="752" t="s">
        <v>60</v>
      </c>
      <c r="J199" s="751">
        <v>22</v>
      </c>
      <c r="K199" s="751">
        <v>1</v>
      </c>
      <c r="L199" s="752" t="s">
        <v>36</v>
      </c>
      <c r="M199" s="752" t="s">
        <v>52</v>
      </c>
      <c r="N199" s="752" t="s">
        <v>48</v>
      </c>
      <c r="O199" s="752" t="s">
        <v>48</v>
      </c>
      <c r="P199" s="752" t="s">
        <v>49</v>
      </c>
      <c r="Q199" s="753">
        <v>0</v>
      </c>
      <c r="R199" s="753">
        <v>0</v>
      </c>
      <c r="S199" s="753">
        <v>0</v>
      </c>
      <c r="T199" s="753">
        <v>0</v>
      </c>
      <c r="U199" s="753">
        <v>0</v>
      </c>
      <c r="V199" s="751">
        <v>2019</v>
      </c>
      <c r="W199" s="222"/>
      <c r="X199" s="186" t="str">
        <f t="shared" si="11"/>
        <v/>
      </c>
      <c r="Y199" s="178" t="str">
        <f t="shared" ref="Y199:Y262" si="12">IF(AND($M199=$Y$2,$N199=$Y$3,NOT($Q199=$R199),NOT($U199=0)),IF($K199=5,$S199/($U199+(8/5)*$U199),IF($K199=7,$S199/($U199+(29/25)*$U199),"")),"")</f>
        <v/>
      </c>
      <c r="Z199" s="178" t="str">
        <f t="shared" ref="Z199:Z262" si="13">IF(AND($M199=$Y$2,$N199=$Y$4,NOT($Q199=$R199),NOT($U199=0)),IF($K199=5,$S199/($U199+(8/5)*$U199),IF($K199=7,$S199/($U199+(29/25)*$U199),"")),"")</f>
        <v/>
      </c>
      <c r="AA199" s="44"/>
      <c r="AB199" s="65"/>
    </row>
    <row r="200" spans="1:28" hidden="1">
      <c r="A200" s="751">
        <v>2496</v>
      </c>
      <c r="B200" s="752" t="s">
        <v>35</v>
      </c>
      <c r="C200" s="751" t="s">
        <v>2960</v>
      </c>
      <c r="D200" s="752" t="s">
        <v>652</v>
      </c>
      <c r="E200" s="752" t="s">
        <v>109</v>
      </c>
      <c r="F200" s="751">
        <v>4226</v>
      </c>
      <c r="G200" s="752" t="s">
        <v>59</v>
      </c>
      <c r="H200" s="752" t="s">
        <v>1244</v>
      </c>
      <c r="I200" s="752" t="s">
        <v>60</v>
      </c>
      <c r="J200" s="751">
        <v>22</v>
      </c>
      <c r="K200" s="751">
        <v>1</v>
      </c>
      <c r="L200" s="752" t="s">
        <v>36</v>
      </c>
      <c r="M200" s="752" t="s">
        <v>52</v>
      </c>
      <c r="N200" s="752" t="s">
        <v>78</v>
      </c>
      <c r="O200" s="752" t="s">
        <v>69</v>
      </c>
      <c r="P200" s="752" t="s">
        <v>49</v>
      </c>
      <c r="Q200" s="753">
        <v>1952</v>
      </c>
      <c r="R200" s="753">
        <v>1952</v>
      </c>
      <c r="S200" s="753">
        <v>10881</v>
      </c>
      <c r="T200" s="753">
        <v>10881</v>
      </c>
      <c r="U200" s="753">
        <v>648</v>
      </c>
      <c r="V200" s="751">
        <v>2019</v>
      </c>
      <c r="W200" s="222"/>
      <c r="X200" s="186">
        <f t="shared" si="11"/>
        <v>16.791666666666668</v>
      </c>
      <c r="Y200" s="178" t="str">
        <f t="shared" si="12"/>
        <v/>
      </c>
      <c r="Z200" s="178" t="str">
        <f t="shared" si="13"/>
        <v/>
      </c>
      <c r="AA200" s="44"/>
      <c r="AB200" s="65"/>
    </row>
    <row r="201" spans="1:28" hidden="1">
      <c r="A201" s="751">
        <v>2497</v>
      </c>
      <c r="B201" s="752" t="s">
        <v>35</v>
      </c>
      <c r="C201" s="751">
        <v>2</v>
      </c>
      <c r="D201" s="752" t="s">
        <v>112</v>
      </c>
      <c r="E201" s="752" t="s">
        <v>113</v>
      </c>
      <c r="F201" s="751">
        <v>6027</v>
      </c>
      <c r="G201" s="752" t="s">
        <v>59</v>
      </c>
      <c r="H201" s="752" t="s">
        <v>1244</v>
      </c>
      <c r="I201" s="752" t="s">
        <v>60</v>
      </c>
      <c r="J201" s="751">
        <v>22</v>
      </c>
      <c r="K201" s="751">
        <v>2</v>
      </c>
      <c r="L201" s="752" t="s">
        <v>54</v>
      </c>
      <c r="M201" s="752" t="s">
        <v>44</v>
      </c>
      <c r="N201" s="752" t="s">
        <v>55</v>
      </c>
      <c r="O201" s="752" t="s">
        <v>55</v>
      </c>
      <c r="P201" s="752" t="s">
        <v>1238</v>
      </c>
      <c r="Q201" s="753">
        <v>0</v>
      </c>
      <c r="R201" s="753">
        <v>0</v>
      </c>
      <c r="S201" s="753">
        <v>87207743</v>
      </c>
      <c r="T201" s="753">
        <v>87207743</v>
      </c>
      <c r="U201" s="753">
        <v>8351945</v>
      </c>
      <c r="V201" s="751">
        <v>2019</v>
      </c>
      <c r="W201" s="222"/>
      <c r="X201" s="186">
        <f t="shared" si="11"/>
        <v>10.441608870748071</v>
      </c>
      <c r="Y201" s="178" t="str">
        <f t="shared" si="12"/>
        <v/>
      </c>
      <c r="Z201" s="178" t="str">
        <f t="shared" si="13"/>
        <v/>
      </c>
      <c r="AA201" s="44"/>
      <c r="AB201" s="65"/>
    </row>
    <row r="202" spans="1:28" ht="25" hidden="1">
      <c r="A202" s="751">
        <v>2499</v>
      </c>
      <c r="B202" s="752" t="s">
        <v>35</v>
      </c>
      <c r="C202" s="751" t="s">
        <v>2960</v>
      </c>
      <c r="D202" s="752" t="s">
        <v>114</v>
      </c>
      <c r="E202" s="752" t="s">
        <v>111</v>
      </c>
      <c r="F202" s="751">
        <v>54863</v>
      </c>
      <c r="G202" s="752" t="s">
        <v>59</v>
      </c>
      <c r="H202" s="752" t="s">
        <v>1244</v>
      </c>
      <c r="I202" s="752" t="s">
        <v>60</v>
      </c>
      <c r="J202" s="751">
        <v>22</v>
      </c>
      <c r="K202" s="751">
        <v>2</v>
      </c>
      <c r="L202" s="752" t="s">
        <v>54</v>
      </c>
      <c r="M202" s="752" t="s">
        <v>52</v>
      </c>
      <c r="N202" s="752" t="s">
        <v>48</v>
      </c>
      <c r="O202" s="752" t="s">
        <v>48</v>
      </c>
      <c r="P202" s="752" t="s">
        <v>49</v>
      </c>
      <c r="Q202" s="753">
        <v>0</v>
      </c>
      <c r="R202" s="753">
        <v>0</v>
      </c>
      <c r="S202" s="753">
        <v>0</v>
      </c>
      <c r="T202" s="753">
        <v>0</v>
      </c>
      <c r="U202" s="753">
        <v>0</v>
      </c>
      <c r="V202" s="751">
        <v>2019</v>
      </c>
      <c r="W202" s="222"/>
      <c r="X202" s="186" t="str">
        <f t="shared" si="11"/>
        <v/>
      </c>
      <c r="Y202" s="178" t="str">
        <f t="shared" si="12"/>
        <v/>
      </c>
      <c r="Z202" s="178" t="str">
        <f t="shared" si="13"/>
        <v/>
      </c>
      <c r="AA202" s="44"/>
      <c r="AB202" s="65"/>
    </row>
    <row r="203" spans="1:28" ht="25" hidden="1">
      <c r="A203" s="751">
        <v>2499</v>
      </c>
      <c r="B203" s="752" t="s">
        <v>35</v>
      </c>
      <c r="C203" s="751" t="s">
        <v>2960</v>
      </c>
      <c r="D203" s="752" t="s">
        <v>114</v>
      </c>
      <c r="E203" s="752" t="s">
        <v>111</v>
      </c>
      <c r="F203" s="751">
        <v>54863</v>
      </c>
      <c r="G203" s="752" t="s">
        <v>59</v>
      </c>
      <c r="H203" s="752" t="s">
        <v>1244</v>
      </c>
      <c r="I203" s="752" t="s">
        <v>60</v>
      </c>
      <c r="J203" s="751">
        <v>22</v>
      </c>
      <c r="K203" s="751">
        <v>2</v>
      </c>
      <c r="L203" s="752" t="s">
        <v>54</v>
      </c>
      <c r="M203" s="752" t="s">
        <v>52</v>
      </c>
      <c r="N203" s="752" t="s">
        <v>41</v>
      </c>
      <c r="O203" s="752" t="s">
        <v>41</v>
      </c>
      <c r="P203" s="752" t="s">
        <v>1091</v>
      </c>
      <c r="Q203" s="753">
        <v>622680</v>
      </c>
      <c r="R203" s="753">
        <v>622680</v>
      </c>
      <c r="S203" s="753">
        <v>641360</v>
      </c>
      <c r="T203" s="753">
        <v>641360</v>
      </c>
      <c r="U203" s="753">
        <v>37090</v>
      </c>
      <c r="V203" s="751">
        <v>2019</v>
      </c>
      <c r="W203" s="222"/>
      <c r="X203" s="186">
        <f t="shared" si="11"/>
        <v>17.291992450795362</v>
      </c>
      <c r="Y203" s="178" t="str">
        <f t="shared" si="12"/>
        <v/>
      </c>
      <c r="Z203" s="178" t="str">
        <f t="shared" si="13"/>
        <v/>
      </c>
      <c r="AA203" s="44"/>
      <c r="AB203" s="65"/>
    </row>
    <row r="204" spans="1:28" hidden="1">
      <c r="A204" s="751">
        <v>2500</v>
      </c>
      <c r="B204" s="752" t="s">
        <v>35</v>
      </c>
      <c r="C204" s="751" t="s">
        <v>2960</v>
      </c>
      <c r="D204" s="752" t="s">
        <v>115</v>
      </c>
      <c r="E204" s="752" t="s">
        <v>2249</v>
      </c>
      <c r="F204" s="751">
        <v>61130</v>
      </c>
      <c r="G204" s="752" t="s">
        <v>59</v>
      </c>
      <c r="H204" s="752" t="s">
        <v>1244</v>
      </c>
      <c r="I204" s="752" t="s">
        <v>60</v>
      </c>
      <c r="J204" s="751">
        <v>22</v>
      </c>
      <c r="K204" s="751">
        <v>2</v>
      </c>
      <c r="L204" s="752" t="s">
        <v>54</v>
      </c>
      <c r="M204" s="752" t="s">
        <v>40</v>
      </c>
      <c r="N204" s="752" t="s">
        <v>78</v>
      </c>
      <c r="O204" s="752" t="s">
        <v>69</v>
      </c>
      <c r="P204" s="752" t="s">
        <v>49</v>
      </c>
      <c r="Q204" s="753">
        <v>0</v>
      </c>
      <c r="R204" s="753">
        <v>0</v>
      </c>
      <c r="S204" s="753">
        <v>0</v>
      </c>
      <c r="T204" s="753">
        <v>0</v>
      </c>
      <c r="U204" s="753">
        <v>0</v>
      </c>
      <c r="V204" s="751">
        <v>2019</v>
      </c>
      <c r="W204" s="222" t="s">
        <v>2666</v>
      </c>
      <c r="X204" s="186" t="str">
        <f t="shared" si="11"/>
        <v/>
      </c>
      <c r="Y204" s="178" t="str">
        <f t="shared" si="12"/>
        <v/>
      </c>
      <c r="Z204" s="178" t="str">
        <f t="shared" si="13"/>
        <v/>
      </c>
      <c r="AA204" s="44"/>
      <c r="AB204" s="65"/>
    </row>
    <row r="205" spans="1:28" hidden="1">
      <c r="A205" s="751">
        <v>2500</v>
      </c>
      <c r="B205" s="752" t="s">
        <v>35</v>
      </c>
      <c r="C205" s="751" t="s">
        <v>2960</v>
      </c>
      <c r="D205" s="752" t="s">
        <v>115</v>
      </c>
      <c r="E205" s="752" t="s">
        <v>2249</v>
      </c>
      <c r="F205" s="751">
        <v>61130</v>
      </c>
      <c r="G205" s="752" t="s">
        <v>59</v>
      </c>
      <c r="H205" s="752" t="s">
        <v>1244</v>
      </c>
      <c r="I205" s="752" t="s">
        <v>60</v>
      </c>
      <c r="J205" s="751">
        <v>22</v>
      </c>
      <c r="K205" s="751">
        <v>2</v>
      </c>
      <c r="L205" s="752" t="s">
        <v>54</v>
      </c>
      <c r="M205" s="752" t="s">
        <v>40</v>
      </c>
      <c r="N205" s="752" t="s">
        <v>41</v>
      </c>
      <c r="O205" s="752" t="s">
        <v>41</v>
      </c>
      <c r="P205" s="752" t="s">
        <v>1091</v>
      </c>
      <c r="Q205" s="753">
        <v>0</v>
      </c>
      <c r="R205" s="753">
        <v>0</v>
      </c>
      <c r="S205" s="753">
        <v>0</v>
      </c>
      <c r="T205" s="753">
        <v>0</v>
      </c>
      <c r="U205" s="753">
        <v>0</v>
      </c>
      <c r="V205" s="751">
        <v>2019</v>
      </c>
      <c r="W205" s="222" t="s">
        <v>2666</v>
      </c>
      <c r="X205" s="186" t="str">
        <f t="shared" si="11"/>
        <v/>
      </c>
      <c r="Y205" s="178" t="str">
        <f t="shared" si="12"/>
        <v/>
      </c>
      <c r="Z205" s="178" t="str">
        <f t="shared" si="13"/>
        <v/>
      </c>
      <c r="AA205" s="44"/>
      <c r="AB205" s="65"/>
    </row>
    <row r="206" spans="1:28" hidden="1">
      <c r="A206" s="751">
        <v>2500</v>
      </c>
      <c r="B206" s="752" t="s">
        <v>35</v>
      </c>
      <c r="C206" s="751" t="s">
        <v>2960</v>
      </c>
      <c r="D206" s="752" t="s">
        <v>115</v>
      </c>
      <c r="E206" s="752" t="s">
        <v>2249</v>
      </c>
      <c r="F206" s="751">
        <v>61130</v>
      </c>
      <c r="G206" s="752" t="s">
        <v>59</v>
      </c>
      <c r="H206" s="752" t="s">
        <v>1244</v>
      </c>
      <c r="I206" s="752" t="s">
        <v>60</v>
      </c>
      <c r="J206" s="751">
        <v>22</v>
      </c>
      <c r="K206" s="751">
        <v>2</v>
      </c>
      <c r="L206" s="752" t="s">
        <v>54</v>
      </c>
      <c r="M206" s="752" t="s">
        <v>43</v>
      </c>
      <c r="N206" s="752" t="s">
        <v>78</v>
      </c>
      <c r="O206" s="752" t="s">
        <v>69</v>
      </c>
      <c r="P206" s="752" t="s">
        <v>49</v>
      </c>
      <c r="Q206" s="753">
        <v>15628</v>
      </c>
      <c r="R206" s="753">
        <v>15628</v>
      </c>
      <c r="S206" s="753">
        <v>90642</v>
      </c>
      <c r="T206" s="753">
        <v>90642</v>
      </c>
      <c r="U206" s="753">
        <v>11565.107</v>
      </c>
      <c r="V206" s="751">
        <v>2019</v>
      </c>
      <c r="W206" s="222" t="s">
        <v>2666</v>
      </c>
      <c r="X206" s="186">
        <f t="shared" si="11"/>
        <v>7.8375409756260792</v>
      </c>
      <c r="Y206" s="178" t="str">
        <f t="shared" si="12"/>
        <v/>
      </c>
      <c r="Z206" s="178" t="str">
        <f t="shared" si="13"/>
        <v/>
      </c>
      <c r="AA206" s="44"/>
      <c r="AB206" s="65"/>
    </row>
    <row r="207" spans="1:28" hidden="1">
      <c r="A207" s="751">
        <v>2500</v>
      </c>
      <c r="B207" s="752" t="s">
        <v>35</v>
      </c>
      <c r="C207" s="751" t="s">
        <v>2960</v>
      </c>
      <c r="D207" s="752" t="s">
        <v>115</v>
      </c>
      <c r="E207" s="752" t="s">
        <v>2249</v>
      </c>
      <c r="F207" s="751">
        <v>61130</v>
      </c>
      <c r="G207" s="752" t="s">
        <v>59</v>
      </c>
      <c r="H207" s="752" t="s">
        <v>1244</v>
      </c>
      <c r="I207" s="752" t="s">
        <v>60</v>
      </c>
      <c r="J207" s="751">
        <v>22</v>
      </c>
      <c r="K207" s="751">
        <v>2</v>
      </c>
      <c r="L207" s="752" t="s">
        <v>54</v>
      </c>
      <c r="M207" s="752" t="s">
        <v>43</v>
      </c>
      <c r="N207" s="752" t="s">
        <v>41</v>
      </c>
      <c r="O207" s="752" t="s">
        <v>41</v>
      </c>
      <c r="P207" s="752" t="s">
        <v>1091</v>
      </c>
      <c r="Q207" s="753">
        <v>10968326</v>
      </c>
      <c r="R207" s="753">
        <v>10968326</v>
      </c>
      <c r="S207" s="753">
        <v>11283056</v>
      </c>
      <c r="T207" s="753">
        <v>11283056</v>
      </c>
      <c r="U207" s="753">
        <v>1513721.9</v>
      </c>
      <c r="V207" s="751">
        <v>2019</v>
      </c>
      <c r="W207" s="222" t="s">
        <v>2666</v>
      </c>
      <c r="X207" s="186">
        <f t="shared" si="11"/>
        <v>7.4538500103618777</v>
      </c>
      <c r="Y207" s="178" t="str">
        <f t="shared" si="12"/>
        <v/>
      </c>
      <c r="Z207" s="178" t="str">
        <f t="shared" si="13"/>
        <v/>
      </c>
      <c r="AA207" s="44"/>
      <c r="AB207" s="65"/>
    </row>
    <row r="208" spans="1:28" hidden="1">
      <c r="A208" s="751">
        <v>2500</v>
      </c>
      <c r="B208" s="752" t="s">
        <v>35</v>
      </c>
      <c r="C208" s="751" t="s">
        <v>2960</v>
      </c>
      <c r="D208" s="752" t="s">
        <v>115</v>
      </c>
      <c r="E208" s="752" t="s">
        <v>2249</v>
      </c>
      <c r="F208" s="751">
        <v>61130</v>
      </c>
      <c r="G208" s="752" t="s">
        <v>59</v>
      </c>
      <c r="H208" s="752" t="s">
        <v>1244</v>
      </c>
      <c r="I208" s="752" t="s">
        <v>60</v>
      </c>
      <c r="J208" s="751">
        <v>22</v>
      </c>
      <c r="K208" s="751">
        <v>2</v>
      </c>
      <c r="L208" s="752" t="s">
        <v>54</v>
      </c>
      <c r="M208" s="752" t="s">
        <v>52</v>
      </c>
      <c r="N208" s="752" t="s">
        <v>78</v>
      </c>
      <c r="O208" s="752" t="s">
        <v>69</v>
      </c>
      <c r="P208" s="752" t="s">
        <v>49</v>
      </c>
      <c r="Q208" s="753">
        <v>0</v>
      </c>
      <c r="R208" s="753">
        <v>0</v>
      </c>
      <c r="S208" s="753">
        <v>0</v>
      </c>
      <c r="T208" s="753">
        <v>0</v>
      </c>
      <c r="U208" s="753">
        <v>0</v>
      </c>
      <c r="V208" s="751">
        <v>2019</v>
      </c>
      <c r="W208" s="222" t="s">
        <v>2666</v>
      </c>
      <c r="X208" s="186" t="str">
        <f t="shared" si="11"/>
        <v/>
      </c>
      <c r="Y208" s="178" t="str">
        <f t="shared" si="12"/>
        <v/>
      </c>
      <c r="Z208" s="178" t="str">
        <f t="shared" si="13"/>
        <v/>
      </c>
      <c r="AA208" s="44"/>
      <c r="AB208" s="65"/>
    </row>
    <row r="209" spans="1:28" hidden="1">
      <c r="A209" s="751">
        <v>2500</v>
      </c>
      <c r="B209" s="752" t="s">
        <v>35</v>
      </c>
      <c r="C209" s="751" t="s">
        <v>2960</v>
      </c>
      <c r="D209" s="752" t="s">
        <v>115</v>
      </c>
      <c r="E209" s="752" t="s">
        <v>2249</v>
      </c>
      <c r="F209" s="751">
        <v>61130</v>
      </c>
      <c r="G209" s="752" t="s">
        <v>59</v>
      </c>
      <c r="H209" s="752" t="s">
        <v>1244</v>
      </c>
      <c r="I209" s="752" t="s">
        <v>60</v>
      </c>
      <c r="J209" s="751">
        <v>22</v>
      </c>
      <c r="K209" s="751">
        <v>2</v>
      </c>
      <c r="L209" s="752" t="s">
        <v>54</v>
      </c>
      <c r="M209" s="752" t="s">
        <v>52</v>
      </c>
      <c r="N209" s="752" t="s">
        <v>41</v>
      </c>
      <c r="O209" s="752" t="s">
        <v>41</v>
      </c>
      <c r="P209" s="752" t="s">
        <v>1091</v>
      </c>
      <c r="Q209" s="753">
        <v>48398</v>
      </c>
      <c r="R209" s="753">
        <v>48398</v>
      </c>
      <c r="S209" s="753">
        <v>49808</v>
      </c>
      <c r="T209" s="753">
        <v>49808</v>
      </c>
      <c r="U209" s="753">
        <v>3002</v>
      </c>
      <c r="V209" s="751">
        <v>2019</v>
      </c>
      <c r="W209" s="222" t="s">
        <v>2666</v>
      </c>
      <c r="X209" s="186">
        <f t="shared" si="11"/>
        <v>16.591605596269154</v>
      </c>
      <c r="Y209" s="178" t="str">
        <f t="shared" si="12"/>
        <v/>
      </c>
      <c r="Z209" s="178" t="str">
        <f t="shared" si="13"/>
        <v/>
      </c>
      <c r="AA209" s="44"/>
      <c r="AB209" s="65"/>
    </row>
    <row r="210" spans="1:28" hidden="1">
      <c r="A210" s="751">
        <v>2500</v>
      </c>
      <c r="B210" s="752" t="s">
        <v>35</v>
      </c>
      <c r="C210" s="751" t="s">
        <v>2960</v>
      </c>
      <c r="D210" s="752" t="s">
        <v>115</v>
      </c>
      <c r="E210" s="752" t="s">
        <v>2249</v>
      </c>
      <c r="F210" s="751">
        <v>61130</v>
      </c>
      <c r="G210" s="752" t="s">
        <v>59</v>
      </c>
      <c r="H210" s="752" t="s">
        <v>1244</v>
      </c>
      <c r="I210" s="752" t="s">
        <v>60</v>
      </c>
      <c r="J210" s="751">
        <v>22</v>
      </c>
      <c r="K210" s="751">
        <v>2</v>
      </c>
      <c r="L210" s="752" t="s">
        <v>54</v>
      </c>
      <c r="M210" s="752" t="s">
        <v>44</v>
      </c>
      <c r="N210" s="752" t="s">
        <v>41</v>
      </c>
      <c r="O210" s="752" t="s">
        <v>41</v>
      </c>
      <c r="P210" s="752" t="s">
        <v>1091</v>
      </c>
      <c r="Q210" s="753">
        <v>8730802</v>
      </c>
      <c r="R210" s="753">
        <v>8730802</v>
      </c>
      <c r="S210" s="753">
        <v>8981866</v>
      </c>
      <c r="T210" s="753">
        <v>8981866</v>
      </c>
      <c r="U210" s="753">
        <v>757935.32</v>
      </c>
      <c r="V210" s="751">
        <v>2019</v>
      </c>
      <c r="W210" s="222" t="s">
        <v>2666</v>
      </c>
      <c r="X210" s="186">
        <f t="shared" si="11"/>
        <v>11.850438636373353</v>
      </c>
      <c r="Y210" s="178" t="str">
        <f t="shared" si="12"/>
        <v/>
      </c>
      <c r="Z210" s="178" t="str">
        <f t="shared" si="13"/>
        <v/>
      </c>
      <c r="AA210" s="44"/>
      <c r="AB210" s="65"/>
    </row>
    <row r="211" spans="1:28" hidden="1">
      <c r="A211" s="751">
        <v>2500</v>
      </c>
      <c r="B211" s="752" t="s">
        <v>35</v>
      </c>
      <c r="C211" s="751" t="s">
        <v>2960</v>
      </c>
      <c r="D211" s="752" t="s">
        <v>115</v>
      </c>
      <c r="E211" s="752" t="s">
        <v>2249</v>
      </c>
      <c r="F211" s="751">
        <v>61130</v>
      </c>
      <c r="G211" s="752" t="s">
        <v>59</v>
      </c>
      <c r="H211" s="752" t="s">
        <v>1244</v>
      </c>
      <c r="I211" s="752" t="s">
        <v>60</v>
      </c>
      <c r="J211" s="751">
        <v>22</v>
      </c>
      <c r="K211" s="751">
        <v>2</v>
      </c>
      <c r="L211" s="752" t="s">
        <v>54</v>
      </c>
      <c r="M211" s="752" t="s">
        <v>44</v>
      </c>
      <c r="N211" s="752" t="s">
        <v>63</v>
      </c>
      <c r="O211" s="752" t="s">
        <v>63</v>
      </c>
      <c r="P211" s="752" t="s">
        <v>49</v>
      </c>
      <c r="Q211" s="753">
        <v>27346</v>
      </c>
      <c r="R211" s="753">
        <v>27346</v>
      </c>
      <c r="S211" s="753">
        <v>165841</v>
      </c>
      <c r="T211" s="753">
        <v>165841</v>
      </c>
      <c r="U211" s="753">
        <v>12479.677</v>
      </c>
      <c r="V211" s="751">
        <v>2019</v>
      </c>
      <c r="W211" s="222" t="s">
        <v>2666</v>
      </c>
      <c r="X211" s="186">
        <f t="shared" si="11"/>
        <v>13.288885601766777</v>
      </c>
      <c r="Y211" s="178" t="str">
        <f t="shared" si="12"/>
        <v/>
      </c>
      <c r="Z211" s="178" t="str">
        <f t="shared" si="13"/>
        <v/>
      </c>
      <c r="AA211" s="44"/>
      <c r="AB211" s="65"/>
    </row>
    <row r="212" spans="1:28" hidden="1">
      <c r="A212" s="751">
        <v>2503</v>
      </c>
      <c r="B212" s="752" t="s">
        <v>35</v>
      </c>
      <c r="C212" s="751" t="s">
        <v>2960</v>
      </c>
      <c r="D212" s="752" t="s">
        <v>653</v>
      </c>
      <c r="E212" s="752" t="s">
        <v>109</v>
      </c>
      <c r="F212" s="751">
        <v>4226</v>
      </c>
      <c r="G212" s="752" t="s">
        <v>59</v>
      </c>
      <c r="H212" s="752" t="s">
        <v>1244</v>
      </c>
      <c r="I212" s="752" t="s">
        <v>60</v>
      </c>
      <c r="J212" s="751">
        <v>22</v>
      </c>
      <c r="K212" s="751">
        <v>1</v>
      </c>
      <c r="L212" s="752" t="s">
        <v>36</v>
      </c>
      <c r="M212" s="752" t="s">
        <v>52</v>
      </c>
      <c r="N212" s="752" t="s">
        <v>78</v>
      </c>
      <c r="O212" s="752" t="s">
        <v>69</v>
      </c>
      <c r="P212" s="752" t="s">
        <v>49</v>
      </c>
      <c r="Q212" s="753">
        <v>0</v>
      </c>
      <c r="R212" s="753">
        <v>0</v>
      </c>
      <c r="S212" s="753">
        <v>0</v>
      </c>
      <c r="T212" s="753">
        <v>0</v>
      </c>
      <c r="U212" s="753">
        <v>0</v>
      </c>
      <c r="V212" s="751">
        <v>2019</v>
      </c>
      <c r="W212" s="222"/>
      <c r="X212" s="186" t="str">
        <f t="shared" si="11"/>
        <v/>
      </c>
      <c r="Y212" s="178" t="str">
        <f t="shared" si="12"/>
        <v/>
      </c>
      <c r="Z212" s="178" t="str">
        <f t="shared" si="13"/>
        <v/>
      </c>
      <c r="AA212" s="44"/>
      <c r="AB212" s="65"/>
    </row>
    <row r="213" spans="1:28" hidden="1">
      <c r="A213" s="751">
        <v>2503</v>
      </c>
      <c r="B213" s="752" t="s">
        <v>35</v>
      </c>
      <c r="C213" s="751" t="s">
        <v>2960</v>
      </c>
      <c r="D213" s="752" t="s">
        <v>653</v>
      </c>
      <c r="E213" s="752" t="s">
        <v>109</v>
      </c>
      <c r="F213" s="751">
        <v>4226</v>
      </c>
      <c r="G213" s="752" t="s">
        <v>59</v>
      </c>
      <c r="H213" s="752" t="s">
        <v>1244</v>
      </c>
      <c r="I213" s="752" t="s">
        <v>60</v>
      </c>
      <c r="J213" s="751">
        <v>22</v>
      </c>
      <c r="K213" s="751">
        <v>1</v>
      </c>
      <c r="L213" s="752" t="s">
        <v>36</v>
      </c>
      <c r="M213" s="752" t="s">
        <v>52</v>
      </c>
      <c r="N213" s="752" t="s">
        <v>41</v>
      </c>
      <c r="O213" s="752" t="s">
        <v>41</v>
      </c>
      <c r="P213" s="752" t="s">
        <v>1091</v>
      </c>
      <c r="Q213" s="753">
        <v>1745</v>
      </c>
      <c r="R213" s="753">
        <v>1745</v>
      </c>
      <c r="S213" s="753">
        <v>1829</v>
      </c>
      <c r="T213" s="753">
        <v>1829</v>
      </c>
      <c r="U213" s="753">
        <v>119</v>
      </c>
      <c r="V213" s="751">
        <v>2019</v>
      </c>
      <c r="W213" s="222"/>
      <c r="X213" s="186">
        <f t="shared" si="11"/>
        <v>15.369747899159664</v>
      </c>
      <c r="Y213" s="178" t="str">
        <f t="shared" si="12"/>
        <v/>
      </c>
      <c r="Z213" s="178" t="str">
        <f t="shared" si="13"/>
        <v/>
      </c>
      <c r="AA213" s="44"/>
      <c r="AB213" s="65"/>
    </row>
    <row r="214" spans="1:28" hidden="1">
      <c r="A214" s="751">
        <v>2504</v>
      </c>
      <c r="B214" s="752" t="s">
        <v>35</v>
      </c>
      <c r="C214" s="751" t="s">
        <v>2960</v>
      </c>
      <c r="D214" s="752" t="s">
        <v>116</v>
      </c>
      <c r="E214" s="752" t="s">
        <v>109</v>
      </c>
      <c r="F214" s="751">
        <v>4226</v>
      </c>
      <c r="G214" s="752" t="s">
        <v>59</v>
      </c>
      <c r="H214" s="752" t="s">
        <v>1244</v>
      </c>
      <c r="I214" s="752" t="s">
        <v>60</v>
      </c>
      <c r="J214" s="751">
        <v>22</v>
      </c>
      <c r="K214" s="751">
        <v>1</v>
      </c>
      <c r="L214" s="752" t="s">
        <v>36</v>
      </c>
      <c r="M214" s="752" t="s">
        <v>52</v>
      </c>
      <c r="N214" s="752" t="s">
        <v>78</v>
      </c>
      <c r="O214" s="752" t="s">
        <v>69</v>
      </c>
      <c r="P214" s="752" t="s">
        <v>49</v>
      </c>
      <c r="Q214" s="753">
        <v>853</v>
      </c>
      <c r="R214" s="753">
        <v>853</v>
      </c>
      <c r="S214" s="753">
        <v>4820</v>
      </c>
      <c r="T214" s="753">
        <v>4820</v>
      </c>
      <c r="U214" s="753">
        <v>316</v>
      </c>
      <c r="V214" s="751">
        <v>2019</v>
      </c>
      <c r="W214" s="222"/>
      <c r="X214" s="186">
        <f t="shared" si="11"/>
        <v>15.253164556962025</v>
      </c>
      <c r="Y214" s="178" t="str">
        <f t="shared" si="12"/>
        <v/>
      </c>
      <c r="Z214" s="178" t="str">
        <f t="shared" si="13"/>
        <v/>
      </c>
      <c r="AA214" s="44"/>
      <c r="AB214" s="65"/>
    </row>
    <row r="215" spans="1:28" hidden="1">
      <c r="A215" s="751">
        <v>2511</v>
      </c>
      <c r="B215" s="752" t="s">
        <v>35</v>
      </c>
      <c r="C215" s="751" t="s">
        <v>2960</v>
      </c>
      <c r="D215" s="752" t="s">
        <v>117</v>
      </c>
      <c r="E215" s="752" t="s">
        <v>654</v>
      </c>
      <c r="F215" s="751">
        <v>56505</v>
      </c>
      <c r="G215" s="752" t="s">
        <v>59</v>
      </c>
      <c r="H215" s="752" t="s">
        <v>1244</v>
      </c>
      <c r="I215" s="752" t="s">
        <v>60</v>
      </c>
      <c r="J215" s="751">
        <v>22</v>
      </c>
      <c r="K215" s="751">
        <v>1</v>
      </c>
      <c r="L215" s="752" t="s">
        <v>36</v>
      </c>
      <c r="M215" s="752" t="s">
        <v>52</v>
      </c>
      <c r="N215" s="752" t="s">
        <v>48</v>
      </c>
      <c r="O215" s="752" t="s">
        <v>48</v>
      </c>
      <c r="P215" s="752" t="s">
        <v>49</v>
      </c>
      <c r="Q215" s="753">
        <v>7388</v>
      </c>
      <c r="R215" s="753">
        <v>7388</v>
      </c>
      <c r="S215" s="753">
        <v>42362</v>
      </c>
      <c r="T215" s="753">
        <v>42362</v>
      </c>
      <c r="U215" s="753">
        <v>2639.5149999999999</v>
      </c>
      <c r="V215" s="751">
        <v>2019</v>
      </c>
      <c r="W215" s="222" t="s">
        <v>2666</v>
      </c>
      <c r="X215" s="186">
        <f t="shared" si="11"/>
        <v>16.049160546539802</v>
      </c>
      <c r="Y215" s="178" t="str">
        <f t="shared" si="12"/>
        <v/>
      </c>
      <c r="Z215" s="178" t="str">
        <f t="shared" si="13"/>
        <v/>
      </c>
      <c r="AA215" s="44"/>
      <c r="AB215" s="65"/>
    </row>
    <row r="216" spans="1:28" hidden="1">
      <c r="A216" s="751">
        <v>2511</v>
      </c>
      <c r="B216" s="752" t="s">
        <v>35</v>
      </c>
      <c r="C216" s="751" t="s">
        <v>2960</v>
      </c>
      <c r="D216" s="752" t="s">
        <v>117</v>
      </c>
      <c r="E216" s="752" t="s">
        <v>654</v>
      </c>
      <c r="F216" s="751">
        <v>56505</v>
      </c>
      <c r="G216" s="752" t="s">
        <v>59</v>
      </c>
      <c r="H216" s="752" t="s">
        <v>1244</v>
      </c>
      <c r="I216" s="752" t="s">
        <v>60</v>
      </c>
      <c r="J216" s="751">
        <v>22</v>
      </c>
      <c r="K216" s="751">
        <v>1</v>
      </c>
      <c r="L216" s="752" t="s">
        <v>36</v>
      </c>
      <c r="M216" s="752" t="s">
        <v>52</v>
      </c>
      <c r="N216" s="752" t="s">
        <v>41</v>
      </c>
      <c r="O216" s="752" t="s">
        <v>41</v>
      </c>
      <c r="P216" s="752" t="s">
        <v>1091</v>
      </c>
      <c r="Q216" s="753">
        <v>1314663</v>
      </c>
      <c r="R216" s="753">
        <v>1314663</v>
      </c>
      <c r="S216" s="753">
        <v>1354103</v>
      </c>
      <c r="T216" s="753">
        <v>1354103</v>
      </c>
      <c r="U216" s="753">
        <v>83924.264999999999</v>
      </c>
      <c r="V216" s="751">
        <v>2019</v>
      </c>
      <c r="W216" s="222" t="s">
        <v>2666</v>
      </c>
      <c r="X216" s="186">
        <f t="shared" si="11"/>
        <v>16.134821079457772</v>
      </c>
      <c r="Y216" s="178" t="str">
        <f t="shared" si="12"/>
        <v/>
      </c>
      <c r="Z216" s="178" t="str">
        <f t="shared" si="13"/>
        <v/>
      </c>
      <c r="AA216" s="44"/>
      <c r="AB216" s="65"/>
    </row>
    <row r="217" spans="1:28" hidden="1">
      <c r="A217" s="751">
        <v>2511</v>
      </c>
      <c r="B217" s="752" t="s">
        <v>35</v>
      </c>
      <c r="C217" s="751" t="s">
        <v>2960</v>
      </c>
      <c r="D217" s="752" t="s">
        <v>117</v>
      </c>
      <c r="E217" s="752" t="s">
        <v>654</v>
      </c>
      <c r="F217" s="751">
        <v>56505</v>
      </c>
      <c r="G217" s="752" t="s">
        <v>59</v>
      </c>
      <c r="H217" s="752" t="s">
        <v>1244</v>
      </c>
      <c r="I217" s="752" t="s">
        <v>60</v>
      </c>
      <c r="J217" s="751">
        <v>22</v>
      </c>
      <c r="K217" s="751">
        <v>1</v>
      </c>
      <c r="L217" s="752" t="s">
        <v>36</v>
      </c>
      <c r="M217" s="752" t="s">
        <v>44</v>
      </c>
      <c r="N217" s="752" t="s">
        <v>41</v>
      </c>
      <c r="O217" s="752" t="s">
        <v>41</v>
      </c>
      <c r="P217" s="752" t="s">
        <v>1091</v>
      </c>
      <c r="Q217" s="753">
        <v>14215035</v>
      </c>
      <c r="R217" s="753">
        <v>14215035</v>
      </c>
      <c r="S217" s="753">
        <v>14640529</v>
      </c>
      <c r="T217" s="753">
        <v>14640529</v>
      </c>
      <c r="U217" s="753">
        <v>1322213.8</v>
      </c>
      <c r="V217" s="751">
        <v>2019</v>
      </c>
      <c r="W217" s="222" t="s">
        <v>2666</v>
      </c>
      <c r="X217" s="186">
        <f t="shared" si="11"/>
        <v>11.072739522155947</v>
      </c>
      <c r="Y217" s="178" t="str">
        <f t="shared" si="12"/>
        <v/>
      </c>
      <c r="Z217" s="178" t="str">
        <f t="shared" si="13"/>
        <v/>
      </c>
      <c r="AA217" s="44"/>
      <c r="AB217" s="65"/>
    </row>
    <row r="218" spans="1:28" hidden="1">
      <c r="A218" s="751">
        <v>2511</v>
      </c>
      <c r="B218" s="752" t="s">
        <v>35</v>
      </c>
      <c r="C218" s="751" t="s">
        <v>2960</v>
      </c>
      <c r="D218" s="752" t="s">
        <v>117</v>
      </c>
      <c r="E218" s="752" t="s">
        <v>654</v>
      </c>
      <c r="F218" s="751">
        <v>56505</v>
      </c>
      <c r="G218" s="752" t="s">
        <v>59</v>
      </c>
      <c r="H218" s="752" t="s">
        <v>1244</v>
      </c>
      <c r="I218" s="752" t="s">
        <v>60</v>
      </c>
      <c r="J218" s="751">
        <v>22</v>
      </c>
      <c r="K218" s="751">
        <v>1</v>
      </c>
      <c r="L218" s="752" t="s">
        <v>36</v>
      </c>
      <c r="M218" s="752" t="s">
        <v>44</v>
      </c>
      <c r="N218" s="752" t="s">
        <v>63</v>
      </c>
      <c r="O218" s="752" t="s">
        <v>63</v>
      </c>
      <c r="P218" s="752" t="s">
        <v>49</v>
      </c>
      <c r="Q218" s="753">
        <v>26679</v>
      </c>
      <c r="R218" s="753">
        <v>26679</v>
      </c>
      <c r="S218" s="753">
        <v>165041</v>
      </c>
      <c r="T218" s="753">
        <v>165041</v>
      </c>
      <c r="U218" s="753">
        <v>15002.166999999999</v>
      </c>
      <c r="V218" s="751">
        <v>2019</v>
      </c>
      <c r="W218" s="222" t="s">
        <v>2666</v>
      </c>
      <c r="X218" s="186">
        <f t="shared" si="11"/>
        <v>11.001144034725117</v>
      </c>
      <c r="Y218" s="178" t="str">
        <f t="shared" si="12"/>
        <v/>
      </c>
      <c r="Z218" s="178" t="str">
        <f t="shared" si="13"/>
        <v/>
      </c>
      <c r="AA218" s="44"/>
      <c r="AB218" s="65"/>
    </row>
    <row r="219" spans="1:28" hidden="1">
      <c r="A219" s="751">
        <v>2512</v>
      </c>
      <c r="B219" s="752" t="s">
        <v>35</v>
      </c>
      <c r="C219" s="751" t="s">
        <v>2960</v>
      </c>
      <c r="D219" s="752" t="s">
        <v>655</v>
      </c>
      <c r="E219" s="752" t="s">
        <v>654</v>
      </c>
      <c r="F219" s="751">
        <v>56505</v>
      </c>
      <c r="G219" s="752" t="s">
        <v>59</v>
      </c>
      <c r="H219" s="752" t="s">
        <v>1244</v>
      </c>
      <c r="I219" s="752" t="s">
        <v>60</v>
      </c>
      <c r="J219" s="751">
        <v>22</v>
      </c>
      <c r="K219" s="751">
        <v>1</v>
      </c>
      <c r="L219" s="752" t="s">
        <v>36</v>
      </c>
      <c r="M219" s="752" t="s">
        <v>52</v>
      </c>
      <c r="N219" s="752" t="s">
        <v>48</v>
      </c>
      <c r="O219" s="752" t="s">
        <v>48</v>
      </c>
      <c r="P219" s="752" t="s">
        <v>49</v>
      </c>
      <c r="Q219" s="753">
        <v>29405</v>
      </c>
      <c r="R219" s="753">
        <v>29405</v>
      </c>
      <c r="S219" s="753">
        <v>167960</v>
      </c>
      <c r="T219" s="753">
        <v>167960</v>
      </c>
      <c r="U219" s="753">
        <v>12044</v>
      </c>
      <c r="V219" s="751">
        <v>2019</v>
      </c>
      <c r="W219" s="222"/>
      <c r="X219" s="186">
        <f t="shared" si="11"/>
        <v>13.945533045499834</v>
      </c>
      <c r="Y219" s="178" t="str">
        <f t="shared" si="12"/>
        <v/>
      </c>
      <c r="Z219" s="178" t="str">
        <f t="shared" si="13"/>
        <v/>
      </c>
      <c r="AA219" s="44"/>
      <c r="AB219" s="65"/>
    </row>
    <row r="220" spans="1:28" hidden="1">
      <c r="A220" s="751">
        <v>2512</v>
      </c>
      <c r="B220" s="752" t="s">
        <v>35</v>
      </c>
      <c r="C220" s="751" t="s">
        <v>2960</v>
      </c>
      <c r="D220" s="752" t="s">
        <v>655</v>
      </c>
      <c r="E220" s="752" t="s">
        <v>654</v>
      </c>
      <c r="F220" s="751">
        <v>56505</v>
      </c>
      <c r="G220" s="752" t="s">
        <v>59</v>
      </c>
      <c r="H220" s="752" t="s">
        <v>1244</v>
      </c>
      <c r="I220" s="752" t="s">
        <v>60</v>
      </c>
      <c r="J220" s="751">
        <v>22</v>
      </c>
      <c r="K220" s="751">
        <v>1</v>
      </c>
      <c r="L220" s="752" t="s">
        <v>36</v>
      </c>
      <c r="M220" s="752" t="s">
        <v>53</v>
      </c>
      <c r="N220" s="752" t="s">
        <v>48</v>
      </c>
      <c r="O220" s="752" t="s">
        <v>48</v>
      </c>
      <c r="P220" s="752" t="s">
        <v>49</v>
      </c>
      <c r="Q220" s="753">
        <v>4436</v>
      </c>
      <c r="R220" s="753">
        <v>4436</v>
      </c>
      <c r="S220" s="753">
        <v>25346</v>
      </c>
      <c r="T220" s="753">
        <v>25346</v>
      </c>
      <c r="U220" s="753">
        <v>2419</v>
      </c>
      <c r="V220" s="751">
        <v>2019</v>
      </c>
      <c r="W220" s="222"/>
      <c r="X220" s="186">
        <f t="shared" si="11"/>
        <v>10.477883422902025</v>
      </c>
      <c r="Y220" s="178" t="str">
        <f t="shared" si="12"/>
        <v/>
      </c>
      <c r="Z220" s="178" t="str">
        <f t="shared" si="13"/>
        <v/>
      </c>
      <c r="AA220" s="44"/>
      <c r="AB220" s="65"/>
    </row>
    <row r="221" spans="1:28" hidden="1">
      <c r="A221" s="751">
        <v>2514</v>
      </c>
      <c r="B221" s="752" t="s">
        <v>35</v>
      </c>
      <c r="C221" s="751" t="s">
        <v>2960</v>
      </c>
      <c r="D221" s="752" t="s">
        <v>118</v>
      </c>
      <c r="E221" s="752" t="s">
        <v>654</v>
      </c>
      <c r="F221" s="751">
        <v>56505</v>
      </c>
      <c r="G221" s="752" t="s">
        <v>59</v>
      </c>
      <c r="H221" s="752" t="s">
        <v>1244</v>
      </c>
      <c r="I221" s="752" t="s">
        <v>60</v>
      </c>
      <c r="J221" s="751">
        <v>22</v>
      </c>
      <c r="K221" s="751">
        <v>1</v>
      </c>
      <c r="L221" s="752" t="s">
        <v>36</v>
      </c>
      <c r="M221" s="752" t="s">
        <v>52</v>
      </c>
      <c r="N221" s="752" t="s">
        <v>48</v>
      </c>
      <c r="O221" s="752" t="s">
        <v>48</v>
      </c>
      <c r="P221" s="752" t="s">
        <v>49</v>
      </c>
      <c r="Q221" s="753">
        <v>3125</v>
      </c>
      <c r="R221" s="753">
        <v>3125</v>
      </c>
      <c r="S221" s="753">
        <v>17900</v>
      </c>
      <c r="T221" s="753">
        <v>17900</v>
      </c>
      <c r="U221" s="753">
        <v>598</v>
      </c>
      <c r="V221" s="751">
        <v>2019</v>
      </c>
      <c r="W221" s="222" t="s">
        <v>2666</v>
      </c>
      <c r="X221" s="186">
        <f t="shared" si="11"/>
        <v>29.933110367892976</v>
      </c>
      <c r="Y221" s="178" t="str">
        <f t="shared" si="12"/>
        <v/>
      </c>
      <c r="Z221" s="178" t="str">
        <f t="shared" si="13"/>
        <v/>
      </c>
      <c r="AA221" s="44"/>
      <c r="AB221" s="65"/>
    </row>
    <row r="222" spans="1:28" hidden="1">
      <c r="A222" s="751">
        <v>2514</v>
      </c>
      <c r="B222" s="752" t="s">
        <v>35</v>
      </c>
      <c r="C222" s="751" t="s">
        <v>2960</v>
      </c>
      <c r="D222" s="752" t="s">
        <v>118</v>
      </c>
      <c r="E222" s="752" t="s">
        <v>654</v>
      </c>
      <c r="F222" s="751">
        <v>56505</v>
      </c>
      <c r="G222" s="752" t="s">
        <v>59</v>
      </c>
      <c r="H222" s="752" t="s">
        <v>1244</v>
      </c>
      <c r="I222" s="752" t="s">
        <v>60</v>
      </c>
      <c r="J222" s="751">
        <v>22</v>
      </c>
      <c r="K222" s="751">
        <v>1</v>
      </c>
      <c r="L222" s="752" t="s">
        <v>36</v>
      </c>
      <c r="M222" s="752" t="s">
        <v>52</v>
      </c>
      <c r="N222" s="752" t="s">
        <v>41</v>
      </c>
      <c r="O222" s="752" t="s">
        <v>41</v>
      </c>
      <c r="P222" s="752" t="s">
        <v>1091</v>
      </c>
      <c r="Q222" s="753">
        <v>0</v>
      </c>
      <c r="R222" s="753">
        <v>0</v>
      </c>
      <c r="S222" s="753">
        <v>0</v>
      </c>
      <c r="T222" s="753">
        <v>0</v>
      </c>
      <c r="U222" s="753">
        <v>0</v>
      </c>
      <c r="V222" s="751">
        <v>2019</v>
      </c>
      <c r="W222" s="222" t="s">
        <v>2666</v>
      </c>
      <c r="X222" s="186" t="str">
        <f t="shared" si="11"/>
        <v/>
      </c>
      <c r="Y222" s="178" t="str">
        <f t="shared" si="12"/>
        <v/>
      </c>
      <c r="Z222" s="178" t="str">
        <f t="shared" si="13"/>
        <v/>
      </c>
      <c r="AA222" s="44"/>
      <c r="AB222" s="65"/>
    </row>
    <row r="223" spans="1:28" hidden="1">
      <c r="A223" s="751">
        <v>2516</v>
      </c>
      <c r="B223" s="752" t="s">
        <v>35</v>
      </c>
      <c r="C223" s="751" t="s">
        <v>2960</v>
      </c>
      <c r="D223" s="752" t="s">
        <v>119</v>
      </c>
      <c r="E223" s="752" t="s">
        <v>654</v>
      </c>
      <c r="F223" s="751">
        <v>56505</v>
      </c>
      <c r="G223" s="752" t="s">
        <v>59</v>
      </c>
      <c r="H223" s="752" t="s">
        <v>1244</v>
      </c>
      <c r="I223" s="752" t="s">
        <v>60</v>
      </c>
      <c r="J223" s="751">
        <v>22</v>
      </c>
      <c r="K223" s="751">
        <v>1</v>
      </c>
      <c r="L223" s="752" t="s">
        <v>36</v>
      </c>
      <c r="M223" s="752" t="s">
        <v>52</v>
      </c>
      <c r="N223" s="752" t="s">
        <v>48</v>
      </c>
      <c r="O223" s="752" t="s">
        <v>48</v>
      </c>
      <c r="P223" s="752" t="s">
        <v>49</v>
      </c>
      <c r="Q223" s="753">
        <v>342</v>
      </c>
      <c r="R223" s="753">
        <v>342</v>
      </c>
      <c r="S223" s="753">
        <v>1974</v>
      </c>
      <c r="T223" s="753">
        <v>1974</v>
      </c>
      <c r="U223" s="753">
        <v>-46</v>
      </c>
      <c r="V223" s="751">
        <v>2019</v>
      </c>
      <c r="W223" s="222"/>
      <c r="X223" s="186" t="str">
        <f t="shared" si="11"/>
        <v/>
      </c>
      <c r="Y223" s="178" t="str">
        <f t="shared" si="12"/>
        <v/>
      </c>
      <c r="Z223" s="178" t="str">
        <f t="shared" si="13"/>
        <v/>
      </c>
      <c r="AA223" s="44"/>
      <c r="AB223" s="65"/>
    </row>
    <row r="224" spans="1:28" hidden="1">
      <c r="A224" s="751">
        <v>2516</v>
      </c>
      <c r="B224" s="752" t="s">
        <v>35</v>
      </c>
      <c r="C224" s="751" t="s">
        <v>2960</v>
      </c>
      <c r="D224" s="752" t="s">
        <v>119</v>
      </c>
      <c r="E224" s="752" t="s">
        <v>654</v>
      </c>
      <c r="F224" s="751">
        <v>56505</v>
      </c>
      <c r="G224" s="752" t="s">
        <v>59</v>
      </c>
      <c r="H224" s="752" t="s">
        <v>1244</v>
      </c>
      <c r="I224" s="752" t="s">
        <v>60</v>
      </c>
      <c r="J224" s="751">
        <v>22</v>
      </c>
      <c r="K224" s="751">
        <v>1</v>
      </c>
      <c r="L224" s="752" t="s">
        <v>36</v>
      </c>
      <c r="M224" s="752" t="s">
        <v>44</v>
      </c>
      <c r="N224" s="752" t="s">
        <v>41</v>
      </c>
      <c r="O224" s="752" t="s">
        <v>41</v>
      </c>
      <c r="P224" s="752" t="s">
        <v>1091</v>
      </c>
      <c r="Q224" s="753">
        <v>20818415</v>
      </c>
      <c r="R224" s="753">
        <v>20818415</v>
      </c>
      <c r="S224" s="753">
        <v>21452801</v>
      </c>
      <c r="T224" s="753">
        <v>21452801</v>
      </c>
      <c r="U224" s="753">
        <v>1951778.5</v>
      </c>
      <c r="V224" s="751">
        <v>2019</v>
      </c>
      <c r="W224" s="222" t="s">
        <v>2666</v>
      </c>
      <c r="X224" s="186">
        <f t="shared" si="11"/>
        <v>10.991411679142894</v>
      </c>
      <c r="Y224" s="178" t="str">
        <f t="shared" si="12"/>
        <v/>
      </c>
      <c r="Z224" s="178" t="str">
        <f t="shared" si="13"/>
        <v/>
      </c>
      <c r="AA224" s="44"/>
      <c r="AB224" s="65"/>
    </row>
    <row r="225" spans="1:28" hidden="1">
      <c r="A225" s="751">
        <v>2516</v>
      </c>
      <c r="B225" s="752" t="s">
        <v>35</v>
      </c>
      <c r="C225" s="751" t="s">
        <v>2960</v>
      </c>
      <c r="D225" s="752" t="s">
        <v>119</v>
      </c>
      <c r="E225" s="752" t="s">
        <v>654</v>
      </c>
      <c r="F225" s="751">
        <v>56505</v>
      </c>
      <c r="G225" s="752" t="s">
        <v>59</v>
      </c>
      <c r="H225" s="752" t="s">
        <v>1244</v>
      </c>
      <c r="I225" s="752" t="s">
        <v>60</v>
      </c>
      <c r="J225" s="751">
        <v>22</v>
      </c>
      <c r="K225" s="751">
        <v>1</v>
      </c>
      <c r="L225" s="752" t="s">
        <v>36</v>
      </c>
      <c r="M225" s="752" t="s">
        <v>44</v>
      </c>
      <c r="N225" s="752" t="s">
        <v>63</v>
      </c>
      <c r="O225" s="752" t="s">
        <v>63</v>
      </c>
      <c r="P225" s="752" t="s">
        <v>49</v>
      </c>
      <c r="Q225" s="753">
        <v>137105</v>
      </c>
      <c r="R225" s="753">
        <v>137105</v>
      </c>
      <c r="S225" s="753">
        <v>857367</v>
      </c>
      <c r="T225" s="753">
        <v>857367</v>
      </c>
      <c r="U225" s="753">
        <v>77388.55</v>
      </c>
      <c r="V225" s="751">
        <v>2019</v>
      </c>
      <c r="W225" s="222" t="s">
        <v>2666</v>
      </c>
      <c r="X225" s="186">
        <f t="shared" si="11"/>
        <v>11.078731931274071</v>
      </c>
      <c r="Y225" s="178" t="str">
        <f t="shared" si="12"/>
        <v/>
      </c>
      <c r="Z225" s="178" t="str">
        <f t="shared" si="13"/>
        <v/>
      </c>
      <c r="AA225" s="44"/>
      <c r="AB225" s="65"/>
    </row>
    <row r="226" spans="1:28" hidden="1">
      <c r="A226" s="751">
        <v>2517</v>
      </c>
      <c r="B226" s="752" t="s">
        <v>35</v>
      </c>
      <c r="C226" s="751" t="s">
        <v>2960</v>
      </c>
      <c r="D226" s="752" t="s">
        <v>120</v>
      </c>
      <c r="E226" s="752" t="s">
        <v>654</v>
      </c>
      <c r="F226" s="751">
        <v>56505</v>
      </c>
      <c r="G226" s="752" t="s">
        <v>59</v>
      </c>
      <c r="H226" s="752" t="s">
        <v>1244</v>
      </c>
      <c r="I226" s="752" t="s">
        <v>60</v>
      </c>
      <c r="J226" s="751">
        <v>22</v>
      </c>
      <c r="K226" s="751">
        <v>1</v>
      </c>
      <c r="L226" s="752" t="s">
        <v>36</v>
      </c>
      <c r="M226" s="752" t="s">
        <v>52</v>
      </c>
      <c r="N226" s="752" t="s">
        <v>48</v>
      </c>
      <c r="O226" s="752" t="s">
        <v>48</v>
      </c>
      <c r="P226" s="752" t="s">
        <v>49</v>
      </c>
      <c r="Q226" s="753">
        <v>0</v>
      </c>
      <c r="R226" s="753">
        <v>0</v>
      </c>
      <c r="S226" s="753">
        <v>0</v>
      </c>
      <c r="T226" s="753">
        <v>0</v>
      </c>
      <c r="U226" s="753">
        <v>0</v>
      </c>
      <c r="V226" s="751">
        <v>2019</v>
      </c>
      <c r="W226" s="222"/>
      <c r="X226" s="186" t="str">
        <f t="shared" si="11"/>
        <v/>
      </c>
      <c r="Y226" s="178" t="str">
        <f t="shared" si="12"/>
        <v/>
      </c>
      <c r="Z226" s="178" t="str">
        <f t="shared" si="13"/>
        <v/>
      </c>
      <c r="AA226" s="44"/>
      <c r="AB226" s="65"/>
    </row>
    <row r="227" spans="1:28" hidden="1">
      <c r="A227" s="751">
        <v>2517</v>
      </c>
      <c r="B227" s="752" t="s">
        <v>35</v>
      </c>
      <c r="C227" s="751" t="s">
        <v>2960</v>
      </c>
      <c r="D227" s="752" t="s">
        <v>120</v>
      </c>
      <c r="E227" s="752" t="s">
        <v>654</v>
      </c>
      <c r="F227" s="751">
        <v>56505</v>
      </c>
      <c r="G227" s="752" t="s">
        <v>59</v>
      </c>
      <c r="H227" s="752" t="s">
        <v>1244</v>
      </c>
      <c r="I227" s="752" t="s">
        <v>60</v>
      </c>
      <c r="J227" s="751">
        <v>22</v>
      </c>
      <c r="K227" s="751">
        <v>1</v>
      </c>
      <c r="L227" s="752" t="s">
        <v>36</v>
      </c>
      <c r="M227" s="752" t="s">
        <v>52</v>
      </c>
      <c r="N227" s="752" t="s">
        <v>78</v>
      </c>
      <c r="O227" s="752" t="s">
        <v>69</v>
      </c>
      <c r="P227" s="752" t="s">
        <v>49</v>
      </c>
      <c r="Q227" s="753">
        <v>2573</v>
      </c>
      <c r="R227" s="753">
        <v>2573</v>
      </c>
      <c r="S227" s="753">
        <v>14755</v>
      </c>
      <c r="T227" s="753">
        <v>14755</v>
      </c>
      <c r="U227" s="753">
        <v>1097.932</v>
      </c>
      <c r="V227" s="751">
        <v>2019</v>
      </c>
      <c r="W227" s="222" t="s">
        <v>2666</v>
      </c>
      <c r="X227" s="186">
        <f t="shared" si="11"/>
        <v>13.438901498453456</v>
      </c>
      <c r="Y227" s="178" t="str">
        <f t="shared" si="12"/>
        <v/>
      </c>
      <c r="Z227" s="178" t="str">
        <f t="shared" si="13"/>
        <v/>
      </c>
      <c r="AA227" s="44"/>
      <c r="AB227" s="65"/>
    </row>
    <row r="228" spans="1:28" hidden="1">
      <c r="A228" s="751">
        <v>2517</v>
      </c>
      <c r="B228" s="752" t="s">
        <v>35</v>
      </c>
      <c r="C228" s="751" t="s">
        <v>2960</v>
      </c>
      <c r="D228" s="752" t="s">
        <v>120</v>
      </c>
      <c r="E228" s="752" t="s">
        <v>654</v>
      </c>
      <c r="F228" s="751">
        <v>56505</v>
      </c>
      <c r="G228" s="752" t="s">
        <v>59</v>
      </c>
      <c r="H228" s="752" t="s">
        <v>1244</v>
      </c>
      <c r="I228" s="752" t="s">
        <v>60</v>
      </c>
      <c r="J228" s="751">
        <v>22</v>
      </c>
      <c r="K228" s="751">
        <v>1</v>
      </c>
      <c r="L228" s="752" t="s">
        <v>36</v>
      </c>
      <c r="M228" s="752" t="s">
        <v>52</v>
      </c>
      <c r="N228" s="752" t="s">
        <v>41</v>
      </c>
      <c r="O228" s="752" t="s">
        <v>41</v>
      </c>
      <c r="P228" s="752" t="s">
        <v>1091</v>
      </c>
      <c r="Q228" s="753">
        <v>452461</v>
      </c>
      <c r="R228" s="753">
        <v>452461</v>
      </c>
      <c r="S228" s="753">
        <v>465381</v>
      </c>
      <c r="T228" s="753">
        <v>465381</v>
      </c>
      <c r="U228" s="753">
        <v>41881.067999999999</v>
      </c>
      <c r="V228" s="751">
        <v>2019</v>
      </c>
      <c r="W228" s="222" t="s">
        <v>2666</v>
      </c>
      <c r="X228" s="186">
        <f t="shared" si="11"/>
        <v>11.111965912617128</v>
      </c>
      <c r="Y228" s="178" t="str">
        <f t="shared" si="12"/>
        <v/>
      </c>
      <c r="Z228" s="178" t="str">
        <f t="shared" si="13"/>
        <v/>
      </c>
      <c r="AA228" s="44"/>
      <c r="AB228" s="65"/>
    </row>
    <row r="229" spans="1:28" hidden="1">
      <c r="A229" s="751">
        <v>2517</v>
      </c>
      <c r="B229" s="752" t="s">
        <v>35</v>
      </c>
      <c r="C229" s="751" t="s">
        <v>2960</v>
      </c>
      <c r="D229" s="752" t="s">
        <v>120</v>
      </c>
      <c r="E229" s="752" t="s">
        <v>654</v>
      </c>
      <c r="F229" s="751">
        <v>56505</v>
      </c>
      <c r="G229" s="752" t="s">
        <v>59</v>
      </c>
      <c r="H229" s="752" t="s">
        <v>1244</v>
      </c>
      <c r="I229" s="752" t="s">
        <v>60</v>
      </c>
      <c r="J229" s="751">
        <v>22</v>
      </c>
      <c r="K229" s="751">
        <v>1</v>
      </c>
      <c r="L229" s="752" t="s">
        <v>36</v>
      </c>
      <c r="M229" s="752" t="s">
        <v>44</v>
      </c>
      <c r="N229" s="752" t="s">
        <v>41</v>
      </c>
      <c r="O229" s="752" t="s">
        <v>41</v>
      </c>
      <c r="P229" s="752" t="s">
        <v>1091</v>
      </c>
      <c r="Q229" s="753">
        <v>2858489</v>
      </c>
      <c r="R229" s="753">
        <v>2858489</v>
      </c>
      <c r="S229" s="753">
        <v>2946054</v>
      </c>
      <c r="T229" s="753">
        <v>2946054</v>
      </c>
      <c r="U229" s="753">
        <v>244774.9</v>
      </c>
      <c r="V229" s="751">
        <v>2019</v>
      </c>
      <c r="W229" s="222" t="s">
        <v>2666</v>
      </c>
      <c r="X229" s="186">
        <f t="shared" si="11"/>
        <v>12.035768373309519</v>
      </c>
      <c r="Y229" s="178" t="str">
        <f t="shared" si="12"/>
        <v/>
      </c>
      <c r="Z229" s="178" t="str">
        <f t="shared" si="13"/>
        <v/>
      </c>
      <c r="AA229" s="44"/>
      <c r="AB229" s="65"/>
    </row>
    <row r="230" spans="1:28" hidden="1">
      <c r="A230" s="751">
        <v>2517</v>
      </c>
      <c r="B230" s="752" t="s">
        <v>35</v>
      </c>
      <c r="C230" s="751" t="s">
        <v>2960</v>
      </c>
      <c r="D230" s="752" t="s">
        <v>120</v>
      </c>
      <c r="E230" s="752" t="s">
        <v>654</v>
      </c>
      <c r="F230" s="751">
        <v>56505</v>
      </c>
      <c r="G230" s="752" t="s">
        <v>59</v>
      </c>
      <c r="H230" s="752" t="s">
        <v>1244</v>
      </c>
      <c r="I230" s="752" t="s">
        <v>60</v>
      </c>
      <c r="J230" s="751">
        <v>22</v>
      </c>
      <c r="K230" s="751">
        <v>1</v>
      </c>
      <c r="L230" s="752" t="s">
        <v>36</v>
      </c>
      <c r="M230" s="752" t="s">
        <v>44</v>
      </c>
      <c r="N230" s="752" t="s">
        <v>63</v>
      </c>
      <c r="O230" s="752" t="s">
        <v>63</v>
      </c>
      <c r="P230" s="752" t="s">
        <v>49</v>
      </c>
      <c r="Q230" s="753">
        <v>24639</v>
      </c>
      <c r="R230" s="753">
        <v>24639</v>
      </c>
      <c r="S230" s="753">
        <v>152370</v>
      </c>
      <c r="T230" s="753">
        <v>152370</v>
      </c>
      <c r="U230" s="753">
        <v>12625.096</v>
      </c>
      <c r="V230" s="751">
        <v>2019</v>
      </c>
      <c r="W230" s="222" t="s">
        <v>2666</v>
      </c>
      <c r="X230" s="186">
        <f t="shared" si="11"/>
        <v>12.068819120266491</v>
      </c>
      <c r="Y230" s="178" t="str">
        <f t="shared" si="12"/>
        <v/>
      </c>
      <c r="Z230" s="178" t="str">
        <f t="shared" si="13"/>
        <v/>
      </c>
      <c r="AA230" s="44"/>
      <c r="AB230" s="65"/>
    </row>
    <row r="231" spans="1:28" hidden="1">
      <c r="A231" s="751">
        <v>2518</v>
      </c>
      <c r="B231" s="752" t="s">
        <v>35</v>
      </c>
      <c r="C231" s="751" t="s">
        <v>2960</v>
      </c>
      <c r="D231" s="752" t="s">
        <v>656</v>
      </c>
      <c r="E231" s="752" t="s">
        <v>654</v>
      </c>
      <c r="F231" s="751">
        <v>56505</v>
      </c>
      <c r="G231" s="752" t="s">
        <v>59</v>
      </c>
      <c r="H231" s="752" t="s">
        <v>1244</v>
      </c>
      <c r="I231" s="752" t="s">
        <v>60</v>
      </c>
      <c r="J231" s="751">
        <v>22</v>
      </c>
      <c r="K231" s="751">
        <v>1</v>
      </c>
      <c r="L231" s="752" t="s">
        <v>36</v>
      </c>
      <c r="M231" s="752" t="s">
        <v>52</v>
      </c>
      <c r="N231" s="752" t="s">
        <v>48</v>
      </c>
      <c r="O231" s="752" t="s">
        <v>48</v>
      </c>
      <c r="P231" s="752" t="s">
        <v>49</v>
      </c>
      <c r="Q231" s="753">
        <v>3083</v>
      </c>
      <c r="R231" s="753">
        <v>3083</v>
      </c>
      <c r="S231" s="753">
        <v>17644</v>
      </c>
      <c r="T231" s="753">
        <v>17644</v>
      </c>
      <c r="U231" s="753">
        <v>944</v>
      </c>
      <c r="V231" s="751">
        <v>2019</v>
      </c>
      <c r="W231" s="222"/>
      <c r="X231" s="186"/>
      <c r="Y231" s="178" t="str">
        <f t="shared" si="12"/>
        <v/>
      </c>
      <c r="Z231" s="178" t="str">
        <f t="shared" si="13"/>
        <v/>
      </c>
      <c r="AA231" s="44"/>
      <c r="AB231" s="65"/>
    </row>
    <row r="232" spans="1:28" hidden="1">
      <c r="A232" s="751">
        <v>2519</v>
      </c>
      <c r="B232" s="752" t="s">
        <v>35</v>
      </c>
      <c r="C232" s="751" t="s">
        <v>2960</v>
      </c>
      <c r="D232" s="752" t="s">
        <v>657</v>
      </c>
      <c r="E232" s="752" t="s">
        <v>654</v>
      </c>
      <c r="F232" s="751">
        <v>56505</v>
      </c>
      <c r="G232" s="752" t="s">
        <v>59</v>
      </c>
      <c r="H232" s="752" t="s">
        <v>1244</v>
      </c>
      <c r="I232" s="752" t="s">
        <v>60</v>
      </c>
      <c r="J232" s="751">
        <v>22</v>
      </c>
      <c r="K232" s="751">
        <v>1</v>
      </c>
      <c r="L232" s="752" t="s">
        <v>36</v>
      </c>
      <c r="M232" s="752" t="s">
        <v>52</v>
      </c>
      <c r="N232" s="752" t="s">
        <v>48</v>
      </c>
      <c r="O232" s="752" t="s">
        <v>48</v>
      </c>
      <c r="P232" s="752" t="s">
        <v>49</v>
      </c>
      <c r="Q232" s="753">
        <v>9157</v>
      </c>
      <c r="R232" s="753">
        <v>9157</v>
      </c>
      <c r="S232" s="753">
        <v>52287</v>
      </c>
      <c r="T232" s="753">
        <v>52287</v>
      </c>
      <c r="U232" s="753">
        <v>2104</v>
      </c>
      <c r="V232" s="751">
        <v>2019</v>
      </c>
      <c r="W232" s="222"/>
      <c r="X232" s="186">
        <f>IF(OR(K232&gt;3,T232=0,NOT(U232&gt;0)),"",T232/U232)</f>
        <v>24.851235741444867</v>
      </c>
      <c r="Y232" s="178" t="str">
        <f t="shared" si="12"/>
        <v/>
      </c>
      <c r="Z232" s="178" t="str">
        <f t="shared" si="13"/>
        <v/>
      </c>
      <c r="AA232" s="44"/>
      <c r="AB232" s="65"/>
    </row>
    <row r="233" spans="1:28" hidden="1">
      <c r="A233" s="751">
        <v>2520</v>
      </c>
      <c r="B233" s="752" t="s">
        <v>35</v>
      </c>
      <c r="C233" s="751" t="s">
        <v>2960</v>
      </c>
      <c r="D233" s="752" t="s">
        <v>658</v>
      </c>
      <c r="E233" s="752" t="s">
        <v>654</v>
      </c>
      <c r="F233" s="751">
        <v>56505</v>
      </c>
      <c r="G233" s="752" t="s">
        <v>59</v>
      </c>
      <c r="H233" s="752" t="s">
        <v>1244</v>
      </c>
      <c r="I233" s="752" t="s">
        <v>60</v>
      </c>
      <c r="J233" s="751">
        <v>22</v>
      </c>
      <c r="K233" s="751">
        <v>1</v>
      </c>
      <c r="L233" s="752" t="s">
        <v>36</v>
      </c>
      <c r="M233" s="752" t="s">
        <v>52</v>
      </c>
      <c r="N233" s="752" t="s">
        <v>48</v>
      </c>
      <c r="O233" s="752" t="s">
        <v>48</v>
      </c>
      <c r="P233" s="752" t="s">
        <v>49</v>
      </c>
      <c r="Q233" s="753">
        <v>6693</v>
      </c>
      <c r="R233" s="753">
        <v>6693</v>
      </c>
      <c r="S233" s="753">
        <v>38218</v>
      </c>
      <c r="T233" s="753">
        <v>38218</v>
      </c>
      <c r="U233" s="753">
        <v>1725</v>
      </c>
      <c r="V233" s="751">
        <v>2019</v>
      </c>
      <c r="W233" s="222"/>
      <c r="X233" s="186">
        <f>IF(OR(K233&gt;3,T233=0,NOT(U233&gt;0)),"",T233/U233)</f>
        <v>22.155362318840581</v>
      </c>
      <c r="Y233" s="178" t="str">
        <f t="shared" si="12"/>
        <v/>
      </c>
      <c r="Z233" s="178" t="str">
        <f t="shared" si="13"/>
        <v/>
      </c>
      <c r="AA233" s="44"/>
      <c r="AB233" s="65"/>
    </row>
    <row r="234" spans="1:28" hidden="1">
      <c r="A234" s="751">
        <v>2521</v>
      </c>
      <c r="B234" s="752" t="s">
        <v>35</v>
      </c>
      <c r="C234" s="751" t="s">
        <v>2960</v>
      </c>
      <c r="D234" s="752" t="s">
        <v>659</v>
      </c>
      <c r="E234" s="752" t="s">
        <v>654</v>
      </c>
      <c r="F234" s="751">
        <v>56505</v>
      </c>
      <c r="G234" s="752" t="s">
        <v>59</v>
      </c>
      <c r="H234" s="752" t="s">
        <v>1244</v>
      </c>
      <c r="I234" s="752" t="s">
        <v>60</v>
      </c>
      <c r="J234" s="751">
        <v>22</v>
      </c>
      <c r="K234" s="751">
        <v>1</v>
      </c>
      <c r="L234" s="752" t="s">
        <v>36</v>
      </c>
      <c r="M234" s="752" t="s">
        <v>52</v>
      </c>
      <c r="N234" s="752" t="s">
        <v>48</v>
      </c>
      <c r="O234" s="752" t="s">
        <v>48</v>
      </c>
      <c r="P234" s="752" t="s">
        <v>49</v>
      </c>
      <c r="Q234" s="753">
        <v>7661</v>
      </c>
      <c r="R234" s="753">
        <v>7661</v>
      </c>
      <c r="S234" s="753">
        <v>44019</v>
      </c>
      <c r="T234" s="753">
        <v>44019</v>
      </c>
      <c r="U234" s="753">
        <v>2968</v>
      </c>
      <c r="V234" s="751">
        <v>2019</v>
      </c>
      <c r="W234" s="222" t="s">
        <v>2666</v>
      </c>
      <c r="X234" s="186">
        <f>IF(OR(K234&gt;3,T234=0,NOT(U234&gt;0)),"",T234/U234)</f>
        <v>14.831199460916443</v>
      </c>
      <c r="Y234" s="178" t="str">
        <f t="shared" si="12"/>
        <v/>
      </c>
      <c r="Z234" s="178" t="str">
        <f t="shared" si="13"/>
        <v/>
      </c>
      <c r="AA234" s="44"/>
      <c r="AB234" s="65"/>
    </row>
    <row r="235" spans="1:28" hidden="1">
      <c r="A235" s="751">
        <v>2522</v>
      </c>
      <c r="B235" s="752" t="s">
        <v>35</v>
      </c>
      <c r="C235" s="751" t="s">
        <v>2960</v>
      </c>
      <c r="D235" s="752" t="s">
        <v>660</v>
      </c>
      <c r="E235" s="752" t="s">
        <v>601</v>
      </c>
      <c r="F235" s="751">
        <v>13511</v>
      </c>
      <c r="G235" s="752" t="s">
        <v>59</v>
      </c>
      <c r="H235" s="752" t="s">
        <v>1244</v>
      </c>
      <c r="I235" s="752" t="s">
        <v>60</v>
      </c>
      <c r="J235" s="751">
        <v>22</v>
      </c>
      <c r="K235" s="751">
        <v>1</v>
      </c>
      <c r="L235" s="752" t="s">
        <v>36</v>
      </c>
      <c r="M235" s="752" t="s">
        <v>37</v>
      </c>
      <c r="N235" s="752" t="s">
        <v>38</v>
      </c>
      <c r="O235" s="752" t="s">
        <v>39</v>
      </c>
      <c r="P235" s="752" t="s">
        <v>1238</v>
      </c>
      <c r="Q235" s="753">
        <v>0</v>
      </c>
      <c r="R235" s="753">
        <v>0</v>
      </c>
      <c r="S235" s="753">
        <v>198365</v>
      </c>
      <c r="T235" s="753">
        <v>198365</v>
      </c>
      <c r="U235" s="753">
        <v>22278</v>
      </c>
      <c r="V235" s="751">
        <v>2019</v>
      </c>
      <c r="W235" s="222"/>
      <c r="X235" s="186">
        <f>IF(OR(K235&gt;3,T235=0,NOT(U235&gt;0)),"",T235/U235)</f>
        <v>8.9040757698177568</v>
      </c>
      <c r="Y235" s="178" t="str">
        <f t="shared" si="12"/>
        <v/>
      </c>
      <c r="Z235" s="178" t="str">
        <f t="shared" si="13"/>
        <v/>
      </c>
      <c r="AA235" s="44"/>
      <c r="AB235" s="65"/>
    </row>
    <row r="236" spans="1:28" ht="25" hidden="1">
      <c r="A236" s="751">
        <v>2527</v>
      </c>
      <c r="B236" s="752" t="s">
        <v>35</v>
      </c>
      <c r="C236" s="751" t="s">
        <v>2960</v>
      </c>
      <c r="D236" s="752" t="s">
        <v>1647</v>
      </c>
      <c r="E236" s="752" t="s">
        <v>1648</v>
      </c>
      <c r="F236" s="751">
        <v>25</v>
      </c>
      <c r="G236" s="752" t="s">
        <v>59</v>
      </c>
      <c r="H236" s="752" t="s">
        <v>1244</v>
      </c>
      <c r="I236" s="752" t="s">
        <v>60</v>
      </c>
      <c r="J236" s="751">
        <v>22</v>
      </c>
      <c r="K236" s="751">
        <v>2</v>
      </c>
      <c r="L236" s="752" t="s">
        <v>54</v>
      </c>
      <c r="M236" s="752" t="s">
        <v>44</v>
      </c>
      <c r="N236" s="752" t="s">
        <v>45</v>
      </c>
      <c r="O236" s="752" t="s">
        <v>46</v>
      </c>
      <c r="P236" s="752" t="s">
        <v>47</v>
      </c>
      <c r="Q236" s="753">
        <v>0</v>
      </c>
      <c r="R236" s="753">
        <v>0</v>
      </c>
      <c r="S236" s="753">
        <v>0</v>
      </c>
      <c r="T236" s="753">
        <v>0</v>
      </c>
      <c r="U236" s="753">
        <v>0</v>
      </c>
      <c r="V236" s="751">
        <v>2019</v>
      </c>
      <c r="W236" s="222"/>
      <c r="X236" s="186"/>
      <c r="Y236" s="178" t="str">
        <f t="shared" si="12"/>
        <v/>
      </c>
      <c r="Z236" s="178" t="str">
        <f t="shared" si="13"/>
        <v/>
      </c>
      <c r="AA236" s="44"/>
      <c r="AB236" s="65"/>
    </row>
    <row r="237" spans="1:28" ht="25" hidden="1">
      <c r="A237" s="751">
        <v>2527</v>
      </c>
      <c r="B237" s="752" t="s">
        <v>35</v>
      </c>
      <c r="C237" s="751" t="s">
        <v>2960</v>
      </c>
      <c r="D237" s="752" t="s">
        <v>1647</v>
      </c>
      <c r="E237" s="752" t="s">
        <v>1648</v>
      </c>
      <c r="F237" s="751">
        <v>25</v>
      </c>
      <c r="G237" s="752" t="s">
        <v>59</v>
      </c>
      <c r="H237" s="752" t="s">
        <v>1244</v>
      </c>
      <c r="I237" s="752" t="s">
        <v>60</v>
      </c>
      <c r="J237" s="751">
        <v>22</v>
      </c>
      <c r="K237" s="751">
        <v>2</v>
      </c>
      <c r="L237" s="752" t="s">
        <v>54</v>
      </c>
      <c r="M237" s="752" t="s">
        <v>44</v>
      </c>
      <c r="N237" s="752" t="s">
        <v>48</v>
      </c>
      <c r="O237" s="752" t="s">
        <v>48</v>
      </c>
      <c r="P237" s="752" t="s">
        <v>49</v>
      </c>
      <c r="Q237" s="753">
        <v>0</v>
      </c>
      <c r="R237" s="753">
        <v>0</v>
      </c>
      <c r="S237" s="753">
        <v>0</v>
      </c>
      <c r="T237" s="753">
        <v>0</v>
      </c>
      <c r="U237" s="753">
        <v>0</v>
      </c>
      <c r="V237" s="751">
        <v>2019</v>
      </c>
      <c r="W237" s="222"/>
      <c r="X237" s="186" t="str">
        <f>IF(OR(K237&gt;3,T237=0,NOT(U237&gt;0)),"",T237/U237)</f>
        <v/>
      </c>
      <c r="Y237" s="178" t="str">
        <f t="shared" si="12"/>
        <v/>
      </c>
      <c r="Z237" s="178" t="str">
        <f t="shared" si="13"/>
        <v/>
      </c>
      <c r="AA237" s="44"/>
      <c r="AB237" s="65"/>
    </row>
    <row r="238" spans="1:28" ht="25" hidden="1">
      <c r="A238" s="751">
        <v>2527</v>
      </c>
      <c r="B238" s="752" t="s">
        <v>35</v>
      </c>
      <c r="C238" s="751" t="s">
        <v>2960</v>
      </c>
      <c r="D238" s="752" t="s">
        <v>1647</v>
      </c>
      <c r="E238" s="752" t="s">
        <v>1648</v>
      </c>
      <c r="F238" s="751">
        <v>25</v>
      </c>
      <c r="G238" s="752" t="s">
        <v>59</v>
      </c>
      <c r="H238" s="752" t="s">
        <v>1244</v>
      </c>
      <c r="I238" s="752" t="s">
        <v>60</v>
      </c>
      <c r="J238" s="751">
        <v>22</v>
      </c>
      <c r="K238" s="751">
        <v>2</v>
      </c>
      <c r="L238" s="752" t="s">
        <v>54</v>
      </c>
      <c r="M238" s="752" t="s">
        <v>44</v>
      </c>
      <c r="N238" s="752" t="s">
        <v>41</v>
      </c>
      <c r="O238" s="752" t="s">
        <v>41</v>
      </c>
      <c r="P238" s="752" t="s">
        <v>1091</v>
      </c>
      <c r="Q238" s="753">
        <v>625692</v>
      </c>
      <c r="R238" s="753">
        <v>625692</v>
      </c>
      <c r="S238" s="753">
        <v>643212</v>
      </c>
      <c r="T238" s="753">
        <v>643212</v>
      </c>
      <c r="U238" s="753">
        <v>55675</v>
      </c>
      <c r="V238" s="751">
        <v>2019</v>
      </c>
      <c r="W238" s="222"/>
      <c r="X238" s="186"/>
      <c r="Y238" s="178" t="str">
        <f t="shared" si="12"/>
        <v/>
      </c>
      <c r="Z238" s="178" t="str">
        <f t="shared" si="13"/>
        <v/>
      </c>
      <c r="AA238" s="44"/>
      <c r="AB238" s="65"/>
    </row>
    <row r="239" spans="1:28" ht="25" hidden="1">
      <c r="A239" s="751">
        <v>2527</v>
      </c>
      <c r="B239" s="752" t="s">
        <v>35</v>
      </c>
      <c r="C239" s="751" t="s">
        <v>2960</v>
      </c>
      <c r="D239" s="752" t="s">
        <v>1647</v>
      </c>
      <c r="E239" s="752" t="s">
        <v>1648</v>
      </c>
      <c r="F239" s="751">
        <v>25</v>
      </c>
      <c r="G239" s="752" t="s">
        <v>59</v>
      </c>
      <c r="H239" s="752" t="s">
        <v>1244</v>
      </c>
      <c r="I239" s="752" t="s">
        <v>60</v>
      </c>
      <c r="J239" s="751">
        <v>22</v>
      </c>
      <c r="K239" s="751">
        <v>2</v>
      </c>
      <c r="L239" s="752" t="s">
        <v>54</v>
      </c>
      <c r="M239" s="752" t="s">
        <v>44</v>
      </c>
      <c r="N239" s="752" t="s">
        <v>50</v>
      </c>
      <c r="O239" s="752" t="s">
        <v>46</v>
      </c>
      <c r="P239" s="752" t="s">
        <v>47</v>
      </c>
      <c r="Q239" s="753">
        <v>0</v>
      </c>
      <c r="R239" s="753">
        <v>0</v>
      </c>
      <c r="S239" s="753">
        <v>0</v>
      </c>
      <c r="T239" s="753">
        <v>0</v>
      </c>
      <c r="U239" s="753">
        <v>0</v>
      </c>
      <c r="V239" s="751">
        <v>2019</v>
      </c>
      <c r="W239" s="222"/>
      <c r="X239" s="186"/>
      <c r="Y239" s="178" t="str">
        <f t="shared" si="12"/>
        <v/>
      </c>
      <c r="Z239" s="178" t="str">
        <f t="shared" si="13"/>
        <v/>
      </c>
      <c r="AA239" s="44"/>
      <c r="AB239" s="65"/>
    </row>
    <row r="240" spans="1:28" ht="25" hidden="1">
      <c r="A240" s="751">
        <v>2527</v>
      </c>
      <c r="B240" s="752" t="s">
        <v>35</v>
      </c>
      <c r="C240" s="751" t="s">
        <v>2960</v>
      </c>
      <c r="D240" s="752" t="s">
        <v>1647</v>
      </c>
      <c r="E240" s="752" t="s">
        <v>1648</v>
      </c>
      <c r="F240" s="751">
        <v>25</v>
      </c>
      <c r="G240" s="752" t="s">
        <v>59</v>
      </c>
      <c r="H240" s="752" t="s">
        <v>1244</v>
      </c>
      <c r="I240" s="752" t="s">
        <v>60</v>
      </c>
      <c r="J240" s="751">
        <v>22</v>
      </c>
      <c r="K240" s="751">
        <v>2</v>
      </c>
      <c r="L240" s="752" t="s">
        <v>54</v>
      </c>
      <c r="M240" s="752" t="s">
        <v>44</v>
      </c>
      <c r="N240" s="752" t="s">
        <v>71</v>
      </c>
      <c r="O240" s="752" t="s">
        <v>72</v>
      </c>
      <c r="P240" s="752" t="s">
        <v>47</v>
      </c>
      <c r="Q240" s="753">
        <v>0</v>
      </c>
      <c r="R240" s="753">
        <v>0</v>
      </c>
      <c r="S240" s="753">
        <v>0</v>
      </c>
      <c r="T240" s="753">
        <v>0</v>
      </c>
      <c r="U240" s="753">
        <v>0</v>
      </c>
      <c r="V240" s="751">
        <v>2019</v>
      </c>
      <c r="W240" s="222"/>
      <c r="X240" s="186" t="str">
        <f>IF(OR(K240&gt;3,T240=0,NOT(U240&gt;0)),"",T240/U240)</f>
        <v/>
      </c>
      <c r="Y240" s="178" t="str">
        <f t="shared" si="12"/>
        <v/>
      </c>
      <c r="Z240" s="178" t="str">
        <f t="shared" si="13"/>
        <v/>
      </c>
      <c r="AA240" s="44"/>
      <c r="AB240" s="65"/>
    </row>
    <row r="241" spans="1:28" hidden="1">
      <c r="A241" s="751">
        <v>2528</v>
      </c>
      <c r="B241" s="752" t="s">
        <v>35</v>
      </c>
      <c r="C241" s="751" t="s">
        <v>2960</v>
      </c>
      <c r="D241" s="752" t="s">
        <v>1926</v>
      </c>
      <c r="E241" s="752" t="s">
        <v>601</v>
      </c>
      <c r="F241" s="751">
        <v>13511</v>
      </c>
      <c r="G241" s="752" t="s">
        <v>59</v>
      </c>
      <c r="H241" s="752" t="s">
        <v>1244</v>
      </c>
      <c r="I241" s="752" t="s">
        <v>60</v>
      </c>
      <c r="J241" s="751">
        <v>22</v>
      </c>
      <c r="K241" s="751">
        <v>1</v>
      </c>
      <c r="L241" s="752" t="s">
        <v>36</v>
      </c>
      <c r="M241" s="752" t="s">
        <v>53</v>
      </c>
      <c r="N241" s="752" t="s">
        <v>48</v>
      </c>
      <c r="O241" s="752" t="s">
        <v>48</v>
      </c>
      <c r="P241" s="752" t="s">
        <v>49</v>
      </c>
      <c r="Q241" s="753">
        <v>608</v>
      </c>
      <c r="R241" s="753">
        <v>608</v>
      </c>
      <c r="S241" s="753">
        <v>3459</v>
      </c>
      <c r="T241" s="753">
        <v>3459</v>
      </c>
      <c r="U241" s="753">
        <v>1</v>
      </c>
      <c r="V241" s="751">
        <v>2019</v>
      </c>
      <c r="W241" s="222"/>
      <c r="X241" s="186">
        <f>IF(OR(K241&gt;3,T241=0,NOT(U241&gt;0)),"",T241/U241)</f>
        <v>3459</v>
      </c>
      <c r="Y241" s="178" t="str">
        <f t="shared" si="12"/>
        <v/>
      </c>
      <c r="Z241" s="178" t="str">
        <f t="shared" si="13"/>
        <v/>
      </c>
      <c r="AA241" s="44"/>
      <c r="AB241" s="65"/>
    </row>
    <row r="242" spans="1:28" hidden="1">
      <c r="A242" s="751">
        <v>2530</v>
      </c>
      <c r="B242" s="752" t="s">
        <v>35</v>
      </c>
      <c r="C242" s="751" t="s">
        <v>2960</v>
      </c>
      <c r="D242" s="752" t="s">
        <v>1649</v>
      </c>
      <c r="E242" s="752" t="s">
        <v>601</v>
      </c>
      <c r="F242" s="751">
        <v>13511</v>
      </c>
      <c r="G242" s="752" t="s">
        <v>59</v>
      </c>
      <c r="H242" s="752" t="s">
        <v>1244</v>
      </c>
      <c r="I242" s="752" t="s">
        <v>60</v>
      </c>
      <c r="J242" s="751">
        <v>22</v>
      </c>
      <c r="K242" s="751">
        <v>1</v>
      </c>
      <c r="L242" s="752" t="s">
        <v>36</v>
      </c>
      <c r="M242" s="752" t="s">
        <v>37</v>
      </c>
      <c r="N242" s="752" t="s">
        <v>38</v>
      </c>
      <c r="O242" s="752" t="s">
        <v>39</v>
      </c>
      <c r="P242" s="752" t="s">
        <v>1238</v>
      </c>
      <c r="Q242" s="753">
        <v>0</v>
      </c>
      <c r="R242" s="753">
        <v>0</v>
      </c>
      <c r="S242" s="753">
        <v>382169</v>
      </c>
      <c r="T242" s="753">
        <v>382169</v>
      </c>
      <c r="U242" s="753">
        <v>42921</v>
      </c>
      <c r="V242" s="751">
        <v>2019</v>
      </c>
      <c r="W242" s="222"/>
      <c r="X242" s="186">
        <f>IF(OR(K242&gt;3,T242=0,NOT(U242&gt;0)),"",T242/U242)</f>
        <v>8.9040096922252516</v>
      </c>
      <c r="Y242" s="178" t="str">
        <f t="shared" si="12"/>
        <v/>
      </c>
      <c r="Z242" s="178" t="str">
        <f t="shared" si="13"/>
        <v/>
      </c>
      <c r="AA242" s="44"/>
      <c r="AB242" s="65"/>
    </row>
    <row r="243" spans="1:28" hidden="1">
      <c r="A243" s="751">
        <v>2532</v>
      </c>
      <c r="B243" s="752" t="s">
        <v>35</v>
      </c>
      <c r="C243" s="751" t="s">
        <v>2960</v>
      </c>
      <c r="D243" s="752" t="s">
        <v>661</v>
      </c>
      <c r="E243" s="752" t="s">
        <v>601</v>
      </c>
      <c r="F243" s="751">
        <v>13511</v>
      </c>
      <c r="G243" s="752" t="s">
        <v>59</v>
      </c>
      <c r="H243" s="752" t="s">
        <v>1244</v>
      </c>
      <c r="I243" s="752" t="s">
        <v>60</v>
      </c>
      <c r="J243" s="751">
        <v>22</v>
      </c>
      <c r="K243" s="751">
        <v>1</v>
      </c>
      <c r="L243" s="752" t="s">
        <v>36</v>
      </c>
      <c r="M243" s="752" t="s">
        <v>37</v>
      </c>
      <c r="N243" s="752" t="s">
        <v>38</v>
      </c>
      <c r="O243" s="752" t="s">
        <v>39</v>
      </c>
      <c r="P243" s="752" t="s">
        <v>1238</v>
      </c>
      <c r="Q243" s="753">
        <v>0</v>
      </c>
      <c r="R243" s="753">
        <v>0</v>
      </c>
      <c r="S243" s="753">
        <v>159293</v>
      </c>
      <c r="T243" s="753">
        <v>159293</v>
      </c>
      <c r="U243" s="753">
        <v>17890</v>
      </c>
      <c r="V243" s="751">
        <v>2019</v>
      </c>
      <c r="W243" s="222"/>
      <c r="X243" s="186"/>
      <c r="Y243" s="178" t="str">
        <f t="shared" si="12"/>
        <v/>
      </c>
      <c r="Z243" s="178" t="str">
        <f t="shared" si="13"/>
        <v/>
      </c>
      <c r="AA243" s="44"/>
      <c r="AB243" s="65"/>
    </row>
    <row r="244" spans="1:28" ht="25" hidden="1">
      <c r="A244" s="751">
        <v>2535</v>
      </c>
      <c r="B244" s="752" t="s">
        <v>35</v>
      </c>
      <c r="C244" s="751" t="s">
        <v>2960</v>
      </c>
      <c r="D244" s="752" t="s">
        <v>1223</v>
      </c>
      <c r="E244" s="752" t="s">
        <v>1154</v>
      </c>
      <c r="F244" s="751">
        <v>22125</v>
      </c>
      <c r="G244" s="752" t="s">
        <v>59</v>
      </c>
      <c r="H244" s="752" t="s">
        <v>1244</v>
      </c>
      <c r="I244" s="752" t="s">
        <v>60</v>
      </c>
      <c r="J244" s="751">
        <v>22</v>
      </c>
      <c r="K244" s="751">
        <v>2</v>
      </c>
      <c r="L244" s="752" t="s">
        <v>54</v>
      </c>
      <c r="M244" s="752" t="s">
        <v>44</v>
      </c>
      <c r="N244" s="752" t="s">
        <v>45</v>
      </c>
      <c r="O244" s="752" t="s">
        <v>46</v>
      </c>
      <c r="P244" s="752" t="s">
        <v>47</v>
      </c>
      <c r="Q244" s="753">
        <v>41669</v>
      </c>
      <c r="R244" s="753">
        <v>41669</v>
      </c>
      <c r="S244" s="753">
        <v>1008016</v>
      </c>
      <c r="T244" s="753">
        <v>1008016</v>
      </c>
      <c r="U244" s="753">
        <v>81208.898000000001</v>
      </c>
      <c r="V244" s="751">
        <v>2019</v>
      </c>
      <c r="W244" s="222" t="s">
        <v>2666</v>
      </c>
      <c r="X244" s="186"/>
      <c r="Y244" s="178" t="str">
        <f t="shared" si="12"/>
        <v/>
      </c>
      <c r="Z244" s="178" t="str">
        <f t="shared" si="13"/>
        <v/>
      </c>
      <c r="AA244" s="44"/>
      <c r="AB244" s="65"/>
    </row>
    <row r="245" spans="1:28" hidden="1">
      <c r="A245" s="751">
        <v>2535</v>
      </c>
      <c r="B245" s="752" t="s">
        <v>35</v>
      </c>
      <c r="C245" s="751" t="s">
        <v>2960</v>
      </c>
      <c r="D245" s="752" t="s">
        <v>1223</v>
      </c>
      <c r="E245" s="752" t="s">
        <v>1154</v>
      </c>
      <c r="F245" s="751">
        <v>22125</v>
      </c>
      <c r="G245" s="752" t="s">
        <v>59</v>
      </c>
      <c r="H245" s="752" t="s">
        <v>1244</v>
      </c>
      <c r="I245" s="752" t="s">
        <v>60</v>
      </c>
      <c r="J245" s="751">
        <v>22</v>
      </c>
      <c r="K245" s="751">
        <v>2</v>
      </c>
      <c r="L245" s="752" t="s">
        <v>54</v>
      </c>
      <c r="M245" s="752" t="s">
        <v>44</v>
      </c>
      <c r="N245" s="752" t="s">
        <v>48</v>
      </c>
      <c r="O245" s="752" t="s">
        <v>48</v>
      </c>
      <c r="P245" s="752" t="s">
        <v>49</v>
      </c>
      <c r="Q245" s="753">
        <v>1960</v>
      </c>
      <c r="R245" s="753">
        <v>1960</v>
      </c>
      <c r="S245" s="753">
        <v>11096</v>
      </c>
      <c r="T245" s="753">
        <v>11096</v>
      </c>
      <c r="U245" s="753">
        <v>898.10199999999998</v>
      </c>
      <c r="V245" s="751">
        <v>2019</v>
      </c>
      <c r="W245" s="222" t="s">
        <v>2666</v>
      </c>
      <c r="X245" s="186">
        <f>IF(OR(K245&gt;3,T245=0,NOT(U245&gt;0)),"",T245/U245)</f>
        <v>12.354944093209903</v>
      </c>
      <c r="Y245" s="178" t="str">
        <f t="shared" si="12"/>
        <v/>
      </c>
      <c r="Z245" s="178" t="str">
        <f t="shared" si="13"/>
        <v/>
      </c>
      <c r="AA245" s="44"/>
      <c r="AB245" s="65"/>
    </row>
    <row r="246" spans="1:28" hidden="1">
      <c r="A246" s="751">
        <v>2539</v>
      </c>
      <c r="B246" s="752" t="s">
        <v>35</v>
      </c>
      <c r="C246" s="751" t="s">
        <v>2960</v>
      </c>
      <c r="D246" s="752" t="s">
        <v>121</v>
      </c>
      <c r="E246" s="752" t="s">
        <v>122</v>
      </c>
      <c r="F246" s="751">
        <v>14294</v>
      </c>
      <c r="G246" s="752" t="s">
        <v>59</v>
      </c>
      <c r="H246" s="752" t="s">
        <v>1244</v>
      </c>
      <c r="I246" s="752" t="s">
        <v>60</v>
      </c>
      <c r="J246" s="751">
        <v>22</v>
      </c>
      <c r="K246" s="751">
        <v>2</v>
      </c>
      <c r="L246" s="752" t="s">
        <v>54</v>
      </c>
      <c r="M246" s="752" t="s">
        <v>40</v>
      </c>
      <c r="N246" s="752" t="s">
        <v>78</v>
      </c>
      <c r="O246" s="752" t="s">
        <v>69</v>
      </c>
      <c r="P246" s="752" t="s">
        <v>49</v>
      </c>
      <c r="Q246" s="753">
        <v>0</v>
      </c>
      <c r="R246" s="753">
        <v>0</v>
      </c>
      <c r="S246" s="753">
        <v>0</v>
      </c>
      <c r="T246" s="753">
        <v>0</v>
      </c>
      <c r="U246" s="753">
        <v>0</v>
      </c>
      <c r="V246" s="751">
        <v>2019</v>
      </c>
      <c r="W246" s="222" t="s">
        <v>2666</v>
      </c>
      <c r="X246" s="186"/>
      <c r="Y246" s="178" t="str">
        <f t="shared" si="12"/>
        <v/>
      </c>
      <c r="Z246" s="178" t="str">
        <f t="shared" si="13"/>
        <v/>
      </c>
      <c r="AA246" s="44"/>
      <c r="AB246" s="65"/>
    </row>
    <row r="247" spans="1:28" hidden="1">
      <c r="A247" s="751">
        <v>2539</v>
      </c>
      <c r="B247" s="752" t="s">
        <v>35</v>
      </c>
      <c r="C247" s="751" t="s">
        <v>2960</v>
      </c>
      <c r="D247" s="752" t="s">
        <v>121</v>
      </c>
      <c r="E247" s="752" t="s">
        <v>122</v>
      </c>
      <c r="F247" s="751">
        <v>14294</v>
      </c>
      <c r="G247" s="752" t="s">
        <v>59</v>
      </c>
      <c r="H247" s="752" t="s">
        <v>1244</v>
      </c>
      <c r="I247" s="752" t="s">
        <v>60</v>
      </c>
      <c r="J247" s="751">
        <v>22</v>
      </c>
      <c r="K247" s="751">
        <v>2</v>
      </c>
      <c r="L247" s="752" t="s">
        <v>54</v>
      </c>
      <c r="M247" s="752" t="s">
        <v>40</v>
      </c>
      <c r="N247" s="752" t="s">
        <v>41</v>
      </c>
      <c r="O247" s="752" t="s">
        <v>41</v>
      </c>
      <c r="P247" s="752" t="s">
        <v>1091</v>
      </c>
      <c r="Q247" s="753">
        <v>32492</v>
      </c>
      <c r="R247" s="753">
        <v>32492</v>
      </c>
      <c r="S247" s="753">
        <v>33376</v>
      </c>
      <c r="T247" s="753">
        <v>33376</v>
      </c>
      <c r="U247" s="753">
        <v>1516297</v>
      </c>
      <c r="V247" s="751">
        <v>2019</v>
      </c>
      <c r="W247" s="222" t="s">
        <v>2666</v>
      </c>
      <c r="X247" s="186"/>
      <c r="Y247" s="178" t="str">
        <f t="shared" si="12"/>
        <v/>
      </c>
      <c r="Z247" s="178" t="str">
        <f t="shared" si="13"/>
        <v/>
      </c>
      <c r="AA247" s="44"/>
      <c r="AB247" s="65"/>
    </row>
    <row r="248" spans="1:28" hidden="1">
      <c r="A248" s="751">
        <v>2539</v>
      </c>
      <c r="B248" s="752" t="s">
        <v>35</v>
      </c>
      <c r="C248" s="751" t="s">
        <v>2960</v>
      </c>
      <c r="D248" s="752" t="s">
        <v>121</v>
      </c>
      <c r="E248" s="752" t="s">
        <v>122</v>
      </c>
      <c r="F248" s="751">
        <v>14294</v>
      </c>
      <c r="G248" s="752" t="s">
        <v>59</v>
      </c>
      <c r="H248" s="752" t="s">
        <v>1244</v>
      </c>
      <c r="I248" s="752" t="s">
        <v>60</v>
      </c>
      <c r="J248" s="751">
        <v>22</v>
      </c>
      <c r="K248" s="751">
        <v>2</v>
      </c>
      <c r="L248" s="752" t="s">
        <v>54</v>
      </c>
      <c r="M248" s="752" t="s">
        <v>43</v>
      </c>
      <c r="N248" s="752" t="s">
        <v>78</v>
      </c>
      <c r="O248" s="752" t="s">
        <v>69</v>
      </c>
      <c r="P248" s="752" t="s">
        <v>49</v>
      </c>
      <c r="Q248" s="753">
        <v>0</v>
      </c>
      <c r="R248" s="753">
        <v>0</v>
      </c>
      <c r="S248" s="753">
        <v>0</v>
      </c>
      <c r="T248" s="753">
        <v>0</v>
      </c>
      <c r="U248" s="753">
        <v>0</v>
      </c>
      <c r="V248" s="751">
        <v>2019</v>
      </c>
      <c r="W248" s="222" t="s">
        <v>2666</v>
      </c>
      <c r="X248" s="186"/>
      <c r="Y248" s="178" t="str">
        <f t="shared" si="12"/>
        <v/>
      </c>
      <c r="Z248" s="178" t="str">
        <f t="shared" si="13"/>
        <v/>
      </c>
      <c r="AA248" s="44"/>
      <c r="AB248" s="65"/>
    </row>
    <row r="249" spans="1:28" hidden="1">
      <c r="A249" s="751">
        <v>2539</v>
      </c>
      <c r="B249" s="752" t="s">
        <v>35</v>
      </c>
      <c r="C249" s="751" t="s">
        <v>2960</v>
      </c>
      <c r="D249" s="752" t="s">
        <v>121</v>
      </c>
      <c r="E249" s="752" t="s">
        <v>122</v>
      </c>
      <c r="F249" s="751">
        <v>14294</v>
      </c>
      <c r="G249" s="752" t="s">
        <v>59</v>
      </c>
      <c r="H249" s="752" t="s">
        <v>1244</v>
      </c>
      <c r="I249" s="752" t="s">
        <v>60</v>
      </c>
      <c r="J249" s="751">
        <v>22</v>
      </c>
      <c r="K249" s="751">
        <v>2</v>
      </c>
      <c r="L249" s="752" t="s">
        <v>54</v>
      </c>
      <c r="M249" s="752" t="s">
        <v>43</v>
      </c>
      <c r="N249" s="752" t="s">
        <v>41</v>
      </c>
      <c r="O249" s="752" t="s">
        <v>41</v>
      </c>
      <c r="P249" s="752" t="s">
        <v>1091</v>
      </c>
      <c r="Q249" s="753">
        <v>31053835</v>
      </c>
      <c r="R249" s="753">
        <v>31053835</v>
      </c>
      <c r="S249" s="753">
        <v>31943151</v>
      </c>
      <c r="T249" s="753">
        <v>31943151</v>
      </c>
      <c r="U249" s="753">
        <v>3028162</v>
      </c>
      <c r="V249" s="751">
        <v>2019</v>
      </c>
      <c r="W249" s="222" t="s">
        <v>2666</v>
      </c>
      <c r="X249" s="186"/>
      <c r="Y249" s="178" t="str">
        <f t="shared" si="12"/>
        <v/>
      </c>
      <c r="Z249" s="178" t="str">
        <f t="shared" si="13"/>
        <v/>
      </c>
      <c r="AA249" s="44"/>
      <c r="AB249" s="65"/>
    </row>
    <row r="250" spans="1:28" hidden="1">
      <c r="A250" s="751">
        <v>2540</v>
      </c>
      <c r="B250" s="752" t="s">
        <v>35</v>
      </c>
      <c r="C250" s="751" t="s">
        <v>2960</v>
      </c>
      <c r="D250" s="752" t="s">
        <v>662</v>
      </c>
      <c r="E250" s="752" t="s">
        <v>123</v>
      </c>
      <c r="F250" s="751">
        <v>5914</v>
      </c>
      <c r="G250" s="752" t="s">
        <v>59</v>
      </c>
      <c r="H250" s="752" t="s">
        <v>1244</v>
      </c>
      <c r="I250" s="752" t="s">
        <v>60</v>
      </c>
      <c r="J250" s="751">
        <v>22</v>
      </c>
      <c r="K250" s="751">
        <v>2</v>
      </c>
      <c r="L250" s="752" t="s">
        <v>54</v>
      </c>
      <c r="M250" s="752" t="s">
        <v>37</v>
      </c>
      <c r="N250" s="752" t="s">
        <v>38</v>
      </c>
      <c r="O250" s="752" t="s">
        <v>39</v>
      </c>
      <c r="P250" s="752" t="s">
        <v>1238</v>
      </c>
      <c r="Q250" s="753">
        <v>0</v>
      </c>
      <c r="R250" s="753">
        <v>0</v>
      </c>
      <c r="S250" s="753">
        <v>242848</v>
      </c>
      <c r="T250" s="753">
        <v>242848</v>
      </c>
      <c r="U250" s="753">
        <v>27274</v>
      </c>
      <c r="V250" s="751">
        <v>2019</v>
      </c>
      <c r="W250" s="222"/>
      <c r="X250" s="186"/>
      <c r="Y250" s="178" t="str">
        <f t="shared" si="12"/>
        <v/>
      </c>
      <c r="Z250" s="178" t="str">
        <f t="shared" si="13"/>
        <v/>
      </c>
      <c r="AA250" s="44"/>
      <c r="AB250" s="65"/>
    </row>
    <row r="251" spans="1:28" hidden="1">
      <c r="A251" s="751">
        <v>2543</v>
      </c>
      <c r="B251" s="752" t="s">
        <v>35</v>
      </c>
      <c r="C251" s="751" t="s">
        <v>2960</v>
      </c>
      <c r="D251" s="752" t="s">
        <v>663</v>
      </c>
      <c r="E251" s="752" t="s">
        <v>123</v>
      </c>
      <c r="F251" s="751">
        <v>5914</v>
      </c>
      <c r="G251" s="752" t="s">
        <v>59</v>
      </c>
      <c r="H251" s="752" t="s">
        <v>1244</v>
      </c>
      <c r="I251" s="752" t="s">
        <v>60</v>
      </c>
      <c r="J251" s="751">
        <v>22</v>
      </c>
      <c r="K251" s="751">
        <v>2</v>
      </c>
      <c r="L251" s="752" t="s">
        <v>54</v>
      </c>
      <c r="M251" s="752" t="s">
        <v>37</v>
      </c>
      <c r="N251" s="752" t="s">
        <v>38</v>
      </c>
      <c r="O251" s="752" t="s">
        <v>39</v>
      </c>
      <c r="P251" s="752" t="s">
        <v>1238</v>
      </c>
      <c r="Q251" s="753">
        <v>0</v>
      </c>
      <c r="R251" s="753">
        <v>0</v>
      </c>
      <c r="S251" s="753">
        <v>571139</v>
      </c>
      <c r="T251" s="753">
        <v>571139</v>
      </c>
      <c r="U251" s="753">
        <v>64144</v>
      </c>
      <c r="V251" s="751">
        <v>2019</v>
      </c>
      <c r="W251" s="222"/>
      <c r="X251" s="186"/>
      <c r="Y251" s="178" t="str">
        <f t="shared" si="12"/>
        <v/>
      </c>
      <c r="Z251" s="178" t="str">
        <f t="shared" si="13"/>
        <v/>
      </c>
      <c r="AA251" s="44"/>
      <c r="AB251" s="65"/>
    </row>
    <row r="252" spans="1:28" hidden="1">
      <c r="A252" s="751">
        <v>2544</v>
      </c>
      <c r="B252" s="752" t="s">
        <v>35</v>
      </c>
      <c r="C252" s="751" t="s">
        <v>2960</v>
      </c>
      <c r="D252" s="752" t="s">
        <v>664</v>
      </c>
      <c r="E252" s="752" t="s">
        <v>123</v>
      </c>
      <c r="F252" s="751">
        <v>5914</v>
      </c>
      <c r="G252" s="752" t="s">
        <v>59</v>
      </c>
      <c r="H252" s="752" t="s">
        <v>1244</v>
      </c>
      <c r="I252" s="752" t="s">
        <v>60</v>
      </c>
      <c r="J252" s="751">
        <v>22</v>
      </c>
      <c r="K252" s="751">
        <v>2</v>
      </c>
      <c r="L252" s="752" t="s">
        <v>54</v>
      </c>
      <c r="M252" s="752" t="s">
        <v>37</v>
      </c>
      <c r="N252" s="752" t="s">
        <v>38</v>
      </c>
      <c r="O252" s="752" t="s">
        <v>39</v>
      </c>
      <c r="P252" s="752" t="s">
        <v>1238</v>
      </c>
      <c r="Q252" s="753">
        <v>0</v>
      </c>
      <c r="R252" s="753">
        <v>0</v>
      </c>
      <c r="S252" s="753">
        <v>129010</v>
      </c>
      <c r="T252" s="753">
        <v>129010</v>
      </c>
      <c r="U252" s="753">
        <v>14489</v>
      </c>
      <c r="V252" s="751">
        <v>2019</v>
      </c>
      <c r="W252" s="222"/>
      <c r="X252" s="186"/>
      <c r="Y252" s="178" t="str">
        <f t="shared" si="12"/>
        <v/>
      </c>
      <c r="Z252" s="178" t="str">
        <f t="shared" si="13"/>
        <v/>
      </c>
      <c r="AA252" s="44"/>
      <c r="AB252" s="65"/>
    </row>
    <row r="253" spans="1:28" hidden="1">
      <c r="A253" s="751">
        <v>2545</v>
      </c>
      <c r="B253" s="752" t="s">
        <v>35</v>
      </c>
      <c r="C253" s="751" t="s">
        <v>2960</v>
      </c>
      <c r="D253" s="752" t="s">
        <v>665</v>
      </c>
      <c r="E253" s="752" t="s">
        <v>123</v>
      </c>
      <c r="F253" s="751">
        <v>5914</v>
      </c>
      <c r="G253" s="752" t="s">
        <v>59</v>
      </c>
      <c r="H253" s="752" t="s">
        <v>1244</v>
      </c>
      <c r="I253" s="752" t="s">
        <v>60</v>
      </c>
      <c r="J253" s="751">
        <v>22</v>
      </c>
      <c r="K253" s="751">
        <v>2</v>
      </c>
      <c r="L253" s="752" t="s">
        <v>54</v>
      </c>
      <c r="M253" s="752" t="s">
        <v>37</v>
      </c>
      <c r="N253" s="752" t="s">
        <v>38</v>
      </c>
      <c r="O253" s="752" t="s">
        <v>39</v>
      </c>
      <c r="P253" s="752" t="s">
        <v>1238</v>
      </c>
      <c r="Q253" s="753">
        <v>0</v>
      </c>
      <c r="R253" s="753">
        <v>0</v>
      </c>
      <c r="S253" s="753">
        <v>932622</v>
      </c>
      <c r="T253" s="753">
        <v>932622</v>
      </c>
      <c r="U253" s="753">
        <v>104742</v>
      </c>
      <c r="V253" s="751">
        <v>2019</v>
      </c>
      <c r="W253" s="222"/>
      <c r="X253" s="186"/>
      <c r="Y253" s="178" t="str">
        <f t="shared" si="12"/>
        <v/>
      </c>
      <c r="Z253" s="178" t="str">
        <f t="shared" si="13"/>
        <v/>
      </c>
      <c r="AA253" s="44"/>
      <c r="AB253" s="65"/>
    </row>
    <row r="254" spans="1:28" hidden="1">
      <c r="A254" s="751">
        <v>2546</v>
      </c>
      <c r="B254" s="752" t="s">
        <v>35</v>
      </c>
      <c r="C254" s="751" t="s">
        <v>2960</v>
      </c>
      <c r="D254" s="752" t="s">
        <v>666</v>
      </c>
      <c r="E254" s="752" t="s">
        <v>123</v>
      </c>
      <c r="F254" s="751">
        <v>5914</v>
      </c>
      <c r="G254" s="752" t="s">
        <v>59</v>
      </c>
      <c r="H254" s="752" t="s">
        <v>1244</v>
      </c>
      <c r="I254" s="752" t="s">
        <v>60</v>
      </c>
      <c r="J254" s="751">
        <v>22</v>
      </c>
      <c r="K254" s="751">
        <v>2</v>
      </c>
      <c r="L254" s="752" t="s">
        <v>54</v>
      </c>
      <c r="M254" s="752" t="s">
        <v>37</v>
      </c>
      <c r="N254" s="752" t="s">
        <v>38</v>
      </c>
      <c r="O254" s="752" t="s">
        <v>39</v>
      </c>
      <c r="P254" s="752" t="s">
        <v>1238</v>
      </c>
      <c r="Q254" s="753">
        <v>0</v>
      </c>
      <c r="R254" s="753">
        <v>0</v>
      </c>
      <c r="S254" s="753">
        <v>344870</v>
      </c>
      <c r="T254" s="753">
        <v>344870</v>
      </c>
      <c r="U254" s="753">
        <v>38732</v>
      </c>
      <c r="V254" s="751">
        <v>2019</v>
      </c>
      <c r="W254" s="222"/>
      <c r="X254" s="186"/>
      <c r="Y254" s="178" t="str">
        <f t="shared" si="12"/>
        <v/>
      </c>
      <c r="Z254" s="178" t="str">
        <f t="shared" si="13"/>
        <v/>
      </c>
      <c r="AA254" s="44"/>
      <c r="AB254" s="65"/>
    </row>
    <row r="255" spans="1:28" hidden="1">
      <c r="A255" s="751">
        <v>2547</v>
      </c>
      <c r="B255" s="752" t="s">
        <v>35</v>
      </c>
      <c r="C255" s="751" t="s">
        <v>2960</v>
      </c>
      <c r="D255" s="752" t="s">
        <v>667</v>
      </c>
      <c r="E255" s="752" t="s">
        <v>123</v>
      </c>
      <c r="F255" s="751">
        <v>5914</v>
      </c>
      <c r="G255" s="752" t="s">
        <v>59</v>
      </c>
      <c r="H255" s="752" t="s">
        <v>1244</v>
      </c>
      <c r="I255" s="752" t="s">
        <v>60</v>
      </c>
      <c r="J255" s="751">
        <v>22</v>
      </c>
      <c r="K255" s="751">
        <v>2</v>
      </c>
      <c r="L255" s="752" t="s">
        <v>54</v>
      </c>
      <c r="M255" s="752" t="s">
        <v>37</v>
      </c>
      <c r="N255" s="752" t="s">
        <v>38</v>
      </c>
      <c r="O255" s="752" t="s">
        <v>39</v>
      </c>
      <c r="P255" s="752" t="s">
        <v>1238</v>
      </c>
      <c r="Q255" s="753">
        <v>0</v>
      </c>
      <c r="R255" s="753">
        <v>0</v>
      </c>
      <c r="S255" s="753">
        <v>668601</v>
      </c>
      <c r="T255" s="753">
        <v>668601</v>
      </c>
      <c r="U255" s="753">
        <v>75090</v>
      </c>
      <c r="V255" s="751">
        <v>2019</v>
      </c>
      <c r="W255" s="222"/>
      <c r="X255" s="186"/>
      <c r="Y255" s="178" t="str">
        <f t="shared" si="12"/>
        <v/>
      </c>
      <c r="Z255" s="178" t="str">
        <f t="shared" si="13"/>
        <v/>
      </c>
      <c r="AA255" s="44"/>
      <c r="AB255" s="65"/>
    </row>
    <row r="256" spans="1:28" hidden="1">
      <c r="A256" s="751">
        <v>2548</v>
      </c>
      <c r="B256" s="752" t="s">
        <v>35</v>
      </c>
      <c r="C256" s="751" t="s">
        <v>2960</v>
      </c>
      <c r="D256" s="752" t="s">
        <v>668</v>
      </c>
      <c r="E256" s="752" t="s">
        <v>123</v>
      </c>
      <c r="F256" s="751">
        <v>5914</v>
      </c>
      <c r="G256" s="752" t="s">
        <v>59</v>
      </c>
      <c r="H256" s="752" t="s">
        <v>1244</v>
      </c>
      <c r="I256" s="752" t="s">
        <v>60</v>
      </c>
      <c r="J256" s="751">
        <v>22</v>
      </c>
      <c r="K256" s="751">
        <v>2</v>
      </c>
      <c r="L256" s="752" t="s">
        <v>54</v>
      </c>
      <c r="M256" s="752" t="s">
        <v>37</v>
      </c>
      <c r="N256" s="752" t="s">
        <v>38</v>
      </c>
      <c r="O256" s="752" t="s">
        <v>39</v>
      </c>
      <c r="P256" s="752" t="s">
        <v>1238</v>
      </c>
      <c r="Q256" s="753">
        <v>0</v>
      </c>
      <c r="R256" s="753">
        <v>0</v>
      </c>
      <c r="S256" s="753">
        <v>581592</v>
      </c>
      <c r="T256" s="753">
        <v>581592</v>
      </c>
      <c r="U256" s="753">
        <v>65318</v>
      </c>
      <c r="V256" s="751">
        <v>2019</v>
      </c>
      <c r="W256" s="222"/>
      <c r="X256" s="186"/>
      <c r="Y256" s="178" t="str">
        <f t="shared" si="12"/>
        <v/>
      </c>
      <c r="Z256" s="178" t="str">
        <f t="shared" si="13"/>
        <v/>
      </c>
      <c r="AA256" s="44"/>
      <c r="AB256" s="65"/>
    </row>
    <row r="257" spans="1:28" hidden="1">
      <c r="A257" s="751">
        <v>2550</v>
      </c>
      <c r="B257" s="752" t="s">
        <v>35</v>
      </c>
      <c r="C257" s="751" t="s">
        <v>2960</v>
      </c>
      <c r="D257" s="752" t="s">
        <v>669</v>
      </c>
      <c r="E257" s="752" t="s">
        <v>123</v>
      </c>
      <c r="F257" s="751">
        <v>5914</v>
      </c>
      <c r="G257" s="752" t="s">
        <v>59</v>
      </c>
      <c r="H257" s="752" t="s">
        <v>1244</v>
      </c>
      <c r="I257" s="752" t="s">
        <v>60</v>
      </c>
      <c r="J257" s="751">
        <v>22</v>
      </c>
      <c r="K257" s="751">
        <v>2</v>
      </c>
      <c r="L257" s="752" t="s">
        <v>54</v>
      </c>
      <c r="M257" s="752" t="s">
        <v>37</v>
      </c>
      <c r="N257" s="752" t="s">
        <v>38</v>
      </c>
      <c r="O257" s="752" t="s">
        <v>39</v>
      </c>
      <c r="P257" s="752" t="s">
        <v>1238</v>
      </c>
      <c r="Q257" s="753">
        <v>0</v>
      </c>
      <c r="R257" s="753">
        <v>0</v>
      </c>
      <c r="S257" s="753">
        <v>211470</v>
      </c>
      <c r="T257" s="753">
        <v>211470</v>
      </c>
      <c r="U257" s="753">
        <v>23750</v>
      </c>
      <c r="V257" s="751">
        <v>2019</v>
      </c>
      <c r="W257" s="222"/>
      <c r="X257" s="186"/>
      <c r="Y257" s="178" t="str">
        <f t="shared" si="12"/>
        <v/>
      </c>
      <c r="Z257" s="178" t="str">
        <f t="shared" si="13"/>
        <v/>
      </c>
      <c r="AA257" s="44"/>
      <c r="AB257" s="65"/>
    </row>
    <row r="258" spans="1:28" hidden="1">
      <c r="A258" s="751">
        <v>2551</v>
      </c>
      <c r="B258" s="752" t="s">
        <v>35</v>
      </c>
      <c r="C258" s="751" t="s">
        <v>2960</v>
      </c>
      <c r="D258" s="752" t="s">
        <v>670</v>
      </c>
      <c r="E258" s="752" t="s">
        <v>123</v>
      </c>
      <c r="F258" s="751">
        <v>5914</v>
      </c>
      <c r="G258" s="752" t="s">
        <v>59</v>
      </c>
      <c r="H258" s="752" t="s">
        <v>1244</v>
      </c>
      <c r="I258" s="752" t="s">
        <v>60</v>
      </c>
      <c r="J258" s="751">
        <v>22</v>
      </c>
      <c r="K258" s="751">
        <v>2</v>
      </c>
      <c r="L258" s="752" t="s">
        <v>54</v>
      </c>
      <c r="M258" s="752" t="s">
        <v>37</v>
      </c>
      <c r="N258" s="752" t="s">
        <v>38</v>
      </c>
      <c r="O258" s="752" t="s">
        <v>39</v>
      </c>
      <c r="P258" s="752" t="s">
        <v>1238</v>
      </c>
      <c r="Q258" s="753">
        <v>0</v>
      </c>
      <c r="R258" s="753">
        <v>0</v>
      </c>
      <c r="S258" s="753">
        <v>1742309</v>
      </c>
      <c r="T258" s="753">
        <v>1742309</v>
      </c>
      <c r="U258" s="753">
        <v>195677</v>
      </c>
      <c r="V258" s="751">
        <v>2019</v>
      </c>
      <c r="W258" s="222"/>
      <c r="X258" s="186"/>
      <c r="Y258" s="178" t="str">
        <f t="shared" si="12"/>
        <v/>
      </c>
      <c r="Z258" s="178" t="str">
        <f t="shared" si="13"/>
        <v/>
      </c>
      <c r="AA258" s="44"/>
      <c r="AB258" s="65"/>
    </row>
    <row r="259" spans="1:28" hidden="1">
      <c r="A259" s="751">
        <v>2552</v>
      </c>
      <c r="B259" s="752" t="s">
        <v>35</v>
      </c>
      <c r="C259" s="751" t="s">
        <v>2960</v>
      </c>
      <c r="D259" s="752" t="s">
        <v>671</v>
      </c>
      <c r="E259" s="752" t="s">
        <v>123</v>
      </c>
      <c r="F259" s="751">
        <v>5914</v>
      </c>
      <c r="G259" s="752" t="s">
        <v>59</v>
      </c>
      <c r="H259" s="752" t="s">
        <v>1244</v>
      </c>
      <c r="I259" s="752" t="s">
        <v>60</v>
      </c>
      <c r="J259" s="751">
        <v>22</v>
      </c>
      <c r="K259" s="751">
        <v>2</v>
      </c>
      <c r="L259" s="752" t="s">
        <v>54</v>
      </c>
      <c r="M259" s="752" t="s">
        <v>37</v>
      </c>
      <c r="N259" s="752" t="s">
        <v>38</v>
      </c>
      <c r="O259" s="752" t="s">
        <v>39</v>
      </c>
      <c r="P259" s="752" t="s">
        <v>1238</v>
      </c>
      <c r="Q259" s="753">
        <v>0</v>
      </c>
      <c r="R259" s="753">
        <v>0</v>
      </c>
      <c r="S259" s="753">
        <v>625284</v>
      </c>
      <c r="T259" s="753">
        <v>625284</v>
      </c>
      <c r="U259" s="753">
        <v>70225</v>
      </c>
      <c r="V259" s="751">
        <v>2019</v>
      </c>
      <c r="W259" s="222"/>
      <c r="X259" s="186"/>
      <c r="Y259" s="178" t="str">
        <f t="shared" si="12"/>
        <v/>
      </c>
      <c r="Z259" s="178" t="str">
        <f t="shared" si="13"/>
        <v/>
      </c>
      <c r="AA259" s="44"/>
      <c r="AB259" s="65"/>
    </row>
    <row r="260" spans="1:28" hidden="1">
      <c r="A260" s="751">
        <v>2555</v>
      </c>
      <c r="B260" s="752" t="s">
        <v>35</v>
      </c>
      <c r="C260" s="751" t="s">
        <v>2960</v>
      </c>
      <c r="D260" s="752" t="s">
        <v>672</v>
      </c>
      <c r="E260" s="752" t="s">
        <v>123</v>
      </c>
      <c r="F260" s="751">
        <v>5914</v>
      </c>
      <c r="G260" s="752" t="s">
        <v>59</v>
      </c>
      <c r="H260" s="752" t="s">
        <v>1244</v>
      </c>
      <c r="I260" s="752" t="s">
        <v>60</v>
      </c>
      <c r="J260" s="751">
        <v>22</v>
      </c>
      <c r="K260" s="751">
        <v>2</v>
      </c>
      <c r="L260" s="752" t="s">
        <v>54</v>
      </c>
      <c r="M260" s="752" t="s">
        <v>37</v>
      </c>
      <c r="N260" s="752" t="s">
        <v>38</v>
      </c>
      <c r="O260" s="752" t="s">
        <v>39</v>
      </c>
      <c r="P260" s="752" t="s">
        <v>1238</v>
      </c>
      <c r="Q260" s="753">
        <v>0</v>
      </c>
      <c r="R260" s="753">
        <v>0</v>
      </c>
      <c r="S260" s="753">
        <v>348879</v>
      </c>
      <c r="T260" s="753">
        <v>348879</v>
      </c>
      <c r="U260" s="753">
        <v>39182</v>
      </c>
      <c r="V260" s="751">
        <v>2019</v>
      </c>
      <c r="W260" s="222"/>
      <c r="X260" s="186"/>
      <c r="Y260" s="178" t="str">
        <f t="shared" si="12"/>
        <v/>
      </c>
      <c r="Z260" s="178" t="str">
        <f t="shared" si="13"/>
        <v/>
      </c>
      <c r="AA260" s="44"/>
      <c r="AB260" s="65"/>
    </row>
    <row r="261" spans="1:28" hidden="1">
      <c r="A261" s="751">
        <v>2556</v>
      </c>
      <c r="B261" s="752" t="s">
        <v>35</v>
      </c>
      <c r="C261" s="751" t="s">
        <v>2960</v>
      </c>
      <c r="D261" s="752" t="s">
        <v>673</v>
      </c>
      <c r="E261" s="752" t="s">
        <v>123</v>
      </c>
      <c r="F261" s="751">
        <v>5914</v>
      </c>
      <c r="G261" s="752" t="s">
        <v>59</v>
      </c>
      <c r="H261" s="752" t="s">
        <v>1244</v>
      </c>
      <c r="I261" s="752" t="s">
        <v>60</v>
      </c>
      <c r="J261" s="751">
        <v>22</v>
      </c>
      <c r="K261" s="751">
        <v>2</v>
      </c>
      <c r="L261" s="752" t="s">
        <v>54</v>
      </c>
      <c r="M261" s="752" t="s">
        <v>37</v>
      </c>
      <c r="N261" s="752" t="s">
        <v>38</v>
      </c>
      <c r="O261" s="752" t="s">
        <v>39</v>
      </c>
      <c r="P261" s="752" t="s">
        <v>1238</v>
      </c>
      <c r="Q261" s="753">
        <v>0</v>
      </c>
      <c r="R261" s="753">
        <v>0</v>
      </c>
      <c r="S261" s="753">
        <v>78062</v>
      </c>
      <c r="T261" s="753">
        <v>78062</v>
      </c>
      <c r="U261" s="753">
        <v>8767</v>
      </c>
      <c r="V261" s="751">
        <v>2019</v>
      </c>
      <c r="W261" s="222"/>
      <c r="X261" s="186"/>
      <c r="Y261" s="178" t="str">
        <f t="shared" si="12"/>
        <v/>
      </c>
      <c r="Z261" s="178" t="str">
        <f t="shared" si="13"/>
        <v/>
      </c>
      <c r="AA261" s="44"/>
      <c r="AB261" s="65"/>
    </row>
    <row r="262" spans="1:28" hidden="1">
      <c r="A262" s="751">
        <v>2557</v>
      </c>
      <c r="B262" s="752" t="s">
        <v>35</v>
      </c>
      <c r="C262" s="751" t="s">
        <v>2960</v>
      </c>
      <c r="D262" s="752" t="s">
        <v>674</v>
      </c>
      <c r="E262" s="752" t="s">
        <v>123</v>
      </c>
      <c r="F262" s="751">
        <v>5914</v>
      </c>
      <c r="G262" s="752" t="s">
        <v>59</v>
      </c>
      <c r="H262" s="752" t="s">
        <v>1244</v>
      </c>
      <c r="I262" s="752" t="s">
        <v>60</v>
      </c>
      <c r="J262" s="751">
        <v>22</v>
      </c>
      <c r="K262" s="751">
        <v>2</v>
      </c>
      <c r="L262" s="752" t="s">
        <v>54</v>
      </c>
      <c r="M262" s="752" t="s">
        <v>37</v>
      </c>
      <c r="N262" s="752" t="s">
        <v>38</v>
      </c>
      <c r="O262" s="752" t="s">
        <v>39</v>
      </c>
      <c r="P262" s="752" t="s">
        <v>1238</v>
      </c>
      <c r="Q262" s="753">
        <v>0</v>
      </c>
      <c r="R262" s="753">
        <v>0</v>
      </c>
      <c r="S262" s="753">
        <v>175267</v>
      </c>
      <c r="T262" s="753">
        <v>175267</v>
      </c>
      <c r="U262" s="753">
        <v>19684</v>
      </c>
      <c r="V262" s="751">
        <v>2019</v>
      </c>
      <c r="W262" s="222"/>
      <c r="X262" s="186"/>
      <c r="Y262" s="178" t="str">
        <f t="shared" si="12"/>
        <v/>
      </c>
      <c r="Z262" s="178" t="str">
        <f t="shared" si="13"/>
        <v/>
      </c>
      <c r="AA262" s="44"/>
      <c r="AB262" s="65"/>
    </row>
    <row r="263" spans="1:28" hidden="1">
      <c r="A263" s="751">
        <v>2559</v>
      </c>
      <c r="B263" s="752" t="s">
        <v>35</v>
      </c>
      <c r="C263" s="751" t="s">
        <v>2960</v>
      </c>
      <c r="D263" s="752" t="s">
        <v>675</v>
      </c>
      <c r="E263" s="752" t="s">
        <v>123</v>
      </c>
      <c r="F263" s="751">
        <v>5914</v>
      </c>
      <c r="G263" s="752" t="s">
        <v>59</v>
      </c>
      <c r="H263" s="752" t="s">
        <v>1244</v>
      </c>
      <c r="I263" s="752" t="s">
        <v>60</v>
      </c>
      <c r="J263" s="751">
        <v>22</v>
      </c>
      <c r="K263" s="751">
        <v>2</v>
      </c>
      <c r="L263" s="752" t="s">
        <v>54</v>
      </c>
      <c r="M263" s="752" t="s">
        <v>37</v>
      </c>
      <c r="N263" s="752" t="s">
        <v>38</v>
      </c>
      <c r="O263" s="752" t="s">
        <v>39</v>
      </c>
      <c r="P263" s="752" t="s">
        <v>1238</v>
      </c>
      <c r="Q263" s="753">
        <v>0</v>
      </c>
      <c r="R263" s="753">
        <v>0</v>
      </c>
      <c r="S263" s="753">
        <v>121129</v>
      </c>
      <c r="T263" s="753">
        <v>121129</v>
      </c>
      <c r="U263" s="753">
        <v>13604</v>
      </c>
      <c r="V263" s="751">
        <v>2019</v>
      </c>
      <c r="W263" s="222"/>
      <c r="X263" s="186"/>
      <c r="Y263" s="178" t="str">
        <f t="shared" ref="Y263:Y326" si="14">IF(AND($M263=$Y$2,$N263=$Y$3,NOT($Q263=$R263),NOT($U263=0)),IF($K263=5,$S263/($U263+(8/5)*$U263),IF($K263=7,$S263/($U263+(29/25)*$U263),"")),"")</f>
        <v/>
      </c>
      <c r="Z263" s="178" t="str">
        <f t="shared" ref="Z263:Z326" si="15">IF(AND($M263=$Y$2,$N263=$Y$4,NOT($Q263=$R263),NOT($U263=0)),IF($K263=5,$S263/($U263+(8/5)*$U263),IF($K263=7,$S263/($U263+(29/25)*$U263),"")),"")</f>
        <v/>
      </c>
      <c r="AA263" s="44"/>
      <c r="AB263" s="65"/>
    </row>
    <row r="264" spans="1:28" hidden="1">
      <c r="A264" s="751">
        <v>2560</v>
      </c>
      <c r="B264" s="752" t="s">
        <v>35</v>
      </c>
      <c r="C264" s="751" t="s">
        <v>2960</v>
      </c>
      <c r="D264" s="752" t="s">
        <v>676</v>
      </c>
      <c r="E264" s="752" t="s">
        <v>123</v>
      </c>
      <c r="F264" s="751">
        <v>5914</v>
      </c>
      <c r="G264" s="752" t="s">
        <v>59</v>
      </c>
      <c r="H264" s="752" t="s">
        <v>1244</v>
      </c>
      <c r="I264" s="752" t="s">
        <v>60</v>
      </c>
      <c r="J264" s="751">
        <v>22</v>
      </c>
      <c r="K264" s="751">
        <v>2</v>
      </c>
      <c r="L264" s="752" t="s">
        <v>54</v>
      </c>
      <c r="M264" s="752" t="s">
        <v>37</v>
      </c>
      <c r="N264" s="752" t="s">
        <v>38</v>
      </c>
      <c r="O264" s="752" t="s">
        <v>39</v>
      </c>
      <c r="P264" s="752" t="s">
        <v>1238</v>
      </c>
      <c r="Q264" s="753">
        <v>0</v>
      </c>
      <c r="R264" s="753">
        <v>0</v>
      </c>
      <c r="S264" s="753">
        <v>146854</v>
      </c>
      <c r="T264" s="753">
        <v>146854</v>
      </c>
      <c r="U264" s="753">
        <v>16493</v>
      </c>
      <c r="V264" s="751">
        <v>2019</v>
      </c>
      <c r="W264" s="222"/>
      <c r="X264" s="186"/>
      <c r="Y264" s="178" t="str">
        <f t="shared" si="14"/>
        <v/>
      </c>
      <c r="Z264" s="178" t="str">
        <f t="shared" si="15"/>
        <v/>
      </c>
      <c r="AA264" s="44"/>
      <c r="AB264" s="65"/>
    </row>
    <row r="265" spans="1:28" hidden="1">
      <c r="A265" s="751">
        <v>2561</v>
      </c>
      <c r="B265" s="752" t="s">
        <v>35</v>
      </c>
      <c r="C265" s="751" t="s">
        <v>2960</v>
      </c>
      <c r="D265" s="752" t="s">
        <v>677</v>
      </c>
      <c r="E265" s="752" t="s">
        <v>123</v>
      </c>
      <c r="F265" s="751">
        <v>5914</v>
      </c>
      <c r="G265" s="752" t="s">
        <v>59</v>
      </c>
      <c r="H265" s="752" t="s">
        <v>1244</v>
      </c>
      <c r="I265" s="752" t="s">
        <v>60</v>
      </c>
      <c r="J265" s="751">
        <v>22</v>
      </c>
      <c r="K265" s="751">
        <v>2</v>
      </c>
      <c r="L265" s="752" t="s">
        <v>54</v>
      </c>
      <c r="M265" s="752" t="s">
        <v>37</v>
      </c>
      <c r="N265" s="752" t="s">
        <v>38</v>
      </c>
      <c r="O265" s="752" t="s">
        <v>39</v>
      </c>
      <c r="P265" s="752" t="s">
        <v>1238</v>
      </c>
      <c r="Q265" s="753">
        <v>0</v>
      </c>
      <c r="R265" s="753">
        <v>0</v>
      </c>
      <c r="S265" s="753">
        <v>200616</v>
      </c>
      <c r="T265" s="753">
        <v>200616</v>
      </c>
      <c r="U265" s="753">
        <v>22531</v>
      </c>
      <c r="V265" s="751">
        <v>2019</v>
      </c>
      <c r="W265" s="222"/>
      <c r="X265" s="186"/>
      <c r="Y265" s="178" t="str">
        <f t="shared" si="14"/>
        <v/>
      </c>
      <c r="Z265" s="178" t="str">
        <f t="shared" si="15"/>
        <v/>
      </c>
      <c r="AA265" s="44"/>
      <c r="AB265" s="65"/>
    </row>
    <row r="266" spans="1:28" hidden="1">
      <c r="A266" s="751">
        <v>2562</v>
      </c>
      <c r="B266" s="752" t="s">
        <v>35</v>
      </c>
      <c r="C266" s="751" t="s">
        <v>2960</v>
      </c>
      <c r="D266" s="752" t="s">
        <v>678</v>
      </c>
      <c r="E266" s="752" t="s">
        <v>123</v>
      </c>
      <c r="F266" s="751">
        <v>5914</v>
      </c>
      <c r="G266" s="752" t="s">
        <v>59</v>
      </c>
      <c r="H266" s="752" t="s">
        <v>1244</v>
      </c>
      <c r="I266" s="752" t="s">
        <v>60</v>
      </c>
      <c r="J266" s="751">
        <v>22</v>
      </c>
      <c r="K266" s="751">
        <v>2</v>
      </c>
      <c r="L266" s="752" t="s">
        <v>54</v>
      </c>
      <c r="M266" s="752" t="s">
        <v>37</v>
      </c>
      <c r="N266" s="752" t="s">
        <v>38</v>
      </c>
      <c r="O266" s="752" t="s">
        <v>39</v>
      </c>
      <c r="P266" s="752" t="s">
        <v>1238</v>
      </c>
      <c r="Q266" s="753">
        <v>0</v>
      </c>
      <c r="R266" s="753">
        <v>0</v>
      </c>
      <c r="S266" s="753">
        <v>1098122</v>
      </c>
      <c r="T266" s="753">
        <v>1098122</v>
      </c>
      <c r="U266" s="753">
        <v>123329</v>
      </c>
      <c r="V266" s="751">
        <v>2019</v>
      </c>
      <c r="W266" s="222"/>
      <c r="X266" s="186"/>
      <c r="Y266" s="178" t="str">
        <f t="shared" si="14"/>
        <v/>
      </c>
      <c r="Z266" s="178" t="str">
        <f t="shared" si="15"/>
        <v/>
      </c>
      <c r="AA266" s="44"/>
      <c r="AB266" s="65"/>
    </row>
    <row r="267" spans="1:28" hidden="1">
      <c r="A267" s="751">
        <v>2563</v>
      </c>
      <c r="B267" s="752" t="s">
        <v>35</v>
      </c>
      <c r="C267" s="751" t="s">
        <v>2960</v>
      </c>
      <c r="D267" s="752" t="s">
        <v>679</v>
      </c>
      <c r="E267" s="752" t="s">
        <v>123</v>
      </c>
      <c r="F267" s="751">
        <v>5914</v>
      </c>
      <c r="G267" s="752" t="s">
        <v>59</v>
      </c>
      <c r="H267" s="752" t="s">
        <v>1244</v>
      </c>
      <c r="I267" s="752" t="s">
        <v>60</v>
      </c>
      <c r="J267" s="751">
        <v>22</v>
      </c>
      <c r="K267" s="751">
        <v>2</v>
      </c>
      <c r="L267" s="752" t="s">
        <v>54</v>
      </c>
      <c r="M267" s="752" t="s">
        <v>37</v>
      </c>
      <c r="N267" s="752" t="s">
        <v>38</v>
      </c>
      <c r="O267" s="752" t="s">
        <v>39</v>
      </c>
      <c r="P267" s="752" t="s">
        <v>1238</v>
      </c>
      <c r="Q267" s="753">
        <v>0</v>
      </c>
      <c r="R267" s="753">
        <v>0</v>
      </c>
      <c r="S267" s="753">
        <v>197072</v>
      </c>
      <c r="T267" s="753">
        <v>197072</v>
      </c>
      <c r="U267" s="753">
        <v>22133</v>
      </c>
      <c r="V267" s="751">
        <v>2019</v>
      </c>
      <c r="W267" s="222"/>
      <c r="X267" s="186"/>
      <c r="Y267" s="178" t="str">
        <f t="shared" si="14"/>
        <v/>
      </c>
      <c r="Z267" s="178" t="str">
        <f t="shared" si="15"/>
        <v/>
      </c>
      <c r="AA267" s="44"/>
      <c r="AB267" s="65"/>
    </row>
    <row r="268" spans="1:28" hidden="1">
      <c r="A268" s="751">
        <v>2564</v>
      </c>
      <c r="B268" s="752" t="s">
        <v>35</v>
      </c>
      <c r="C268" s="751" t="s">
        <v>2960</v>
      </c>
      <c r="D268" s="752" t="s">
        <v>1650</v>
      </c>
      <c r="E268" s="752" t="s">
        <v>123</v>
      </c>
      <c r="F268" s="751">
        <v>5914</v>
      </c>
      <c r="G268" s="752" t="s">
        <v>59</v>
      </c>
      <c r="H268" s="752" t="s">
        <v>1244</v>
      </c>
      <c r="I268" s="752" t="s">
        <v>60</v>
      </c>
      <c r="J268" s="751">
        <v>22</v>
      </c>
      <c r="K268" s="751">
        <v>2</v>
      </c>
      <c r="L268" s="752" t="s">
        <v>54</v>
      </c>
      <c r="M268" s="752" t="s">
        <v>37</v>
      </c>
      <c r="N268" s="752" t="s">
        <v>38</v>
      </c>
      <c r="O268" s="752" t="s">
        <v>39</v>
      </c>
      <c r="P268" s="752" t="s">
        <v>1238</v>
      </c>
      <c r="Q268" s="753">
        <v>0</v>
      </c>
      <c r="R268" s="753">
        <v>0</v>
      </c>
      <c r="S268" s="753">
        <v>109394</v>
      </c>
      <c r="T268" s="753">
        <v>109394</v>
      </c>
      <c r="U268" s="753">
        <v>12286</v>
      </c>
      <c r="V268" s="751">
        <v>2019</v>
      </c>
      <c r="W268" s="222"/>
      <c r="X268" s="186"/>
      <c r="Y268" s="178" t="str">
        <f t="shared" si="14"/>
        <v/>
      </c>
      <c r="Z268" s="178" t="str">
        <f t="shared" si="15"/>
        <v/>
      </c>
      <c r="AA268" s="44"/>
      <c r="AB268" s="65"/>
    </row>
    <row r="269" spans="1:28" hidden="1">
      <c r="A269" s="751">
        <v>2566</v>
      </c>
      <c r="B269" s="752" t="s">
        <v>35</v>
      </c>
      <c r="C269" s="751" t="s">
        <v>2960</v>
      </c>
      <c r="D269" s="752" t="s">
        <v>2012</v>
      </c>
      <c r="E269" s="752" t="s">
        <v>123</v>
      </c>
      <c r="F269" s="751">
        <v>5914</v>
      </c>
      <c r="G269" s="752" t="s">
        <v>59</v>
      </c>
      <c r="H269" s="752" t="s">
        <v>1244</v>
      </c>
      <c r="I269" s="752" t="s">
        <v>60</v>
      </c>
      <c r="J269" s="751">
        <v>22</v>
      </c>
      <c r="K269" s="751">
        <v>2</v>
      </c>
      <c r="L269" s="752" t="s">
        <v>54</v>
      </c>
      <c r="M269" s="752" t="s">
        <v>37</v>
      </c>
      <c r="N269" s="752" t="s">
        <v>38</v>
      </c>
      <c r="O269" s="752" t="s">
        <v>39</v>
      </c>
      <c r="P269" s="752" t="s">
        <v>1238</v>
      </c>
      <c r="Q269" s="753">
        <v>0</v>
      </c>
      <c r="R269" s="753">
        <v>0</v>
      </c>
      <c r="S269" s="753">
        <v>71605</v>
      </c>
      <c r="T269" s="753">
        <v>71605</v>
      </c>
      <c r="U269" s="753">
        <v>8042</v>
      </c>
      <c r="V269" s="751">
        <v>2019</v>
      </c>
      <c r="W269" s="222"/>
      <c r="X269" s="186"/>
      <c r="Y269" s="178" t="str">
        <f t="shared" si="14"/>
        <v/>
      </c>
      <c r="Z269" s="178" t="str">
        <f t="shared" si="15"/>
        <v/>
      </c>
      <c r="AA269" s="44"/>
      <c r="AB269" s="65"/>
    </row>
    <row r="270" spans="1:28" hidden="1">
      <c r="A270" s="751">
        <v>2568</v>
      </c>
      <c r="B270" s="752" t="s">
        <v>35</v>
      </c>
      <c r="C270" s="751" t="s">
        <v>2960</v>
      </c>
      <c r="D270" s="752" t="s">
        <v>1651</v>
      </c>
      <c r="E270" s="752" t="s">
        <v>123</v>
      </c>
      <c r="F270" s="751">
        <v>5914</v>
      </c>
      <c r="G270" s="752" t="s">
        <v>59</v>
      </c>
      <c r="H270" s="752" t="s">
        <v>1244</v>
      </c>
      <c r="I270" s="752" t="s">
        <v>60</v>
      </c>
      <c r="J270" s="751">
        <v>22</v>
      </c>
      <c r="K270" s="751">
        <v>2</v>
      </c>
      <c r="L270" s="752" t="s">
        <v>54</v>
      </c>
      <c r="M270" s="752" t="s">
        <v>37</v>
      </c>
      <c r="N270" s="752" t="s">
        <v>38</v>
      </c>
      <c r="O270" s="752" t="s">
        <v>39</v>
      </c>
      <c r="P270" s="752" t="s">
        <v>1238</v>
      </c>
      <c r="Q270" s="753">
        <v>0</v>
      </c>
      <c r="R270" s="753">
        <v>0</v>
      </c>
      <c r="S270" s="753">
        <v>64437</v>
      </c>
      <c r="T270" s="753">
        <v>64437</v>
      </c>
      <c r="U270" s="753">
        <v>7237</v>
      </c>
      <c r="V270" s="751">
        <v>2019</v>
      </c>
      <c r="W270" s="222"/>
      <c r="X270" s="186"/>
      <c r="Y270" s="178" t="str">
        <f t="shared" si="14"/>
        <v/>
      </c>
      <c r="Z270" s="178" t="str">
        <f t="shared" si="15"/>
        <v/>
      </c>
      <c r="AA270" s="44"/>
      <c r="AB270" s="65"/>
    </row>
    <row r="271" spans="1:28" hidden="1">
      <c r="A271" s="751">
        <v>2569</v>
      </c>
      <c r="B271" s="752" t="s">
        <v>35</v>
      </c>
      <c r="C271" s="751" t="s">
        <v>2960</v>
      </c>
      <c r="D271" s="752" t="s">
        <v>680</v>
      </c>
      <c r="E271" s="752" t="s">
        <v>123</v>
      </c>
      <c r="F271" s="751">
        <v>5914</v>
      </c>
      <c r="G271" s="752" t="s">
        <v>59</v>
      </c>
      <c r="H271" s="752" t="s">
        <v>1244</v>
      </c>
      <c r="I271" s="752" t="s">
        <v>60</v>
      </c>
      <c r="J271" s="751">
        <v>22</v>
      </c>
      <c r="K271" s="751">
        <v>2</v>
      </c>
      <c r="L271" s="752" t="s">
        <v>54</v>
      </c>
      <c r="M271" s="752" t="s">
        <v>37</v>
      </c>
      <c r="N271" s="752" t="s">
        <v>38</v>
      </c>
      <c r="O271" s="752" t="s">
        <v>39</v>
      </c>
      <c r="P271" s="752" t="s">
        <v>1238</v>
      </c>
      <c r="Q271" s="753">
        <v>0</v>
      </c>
      <c r="R271" s="753">
        <v>0</v>
      </c>
      <c r="S271" s="753">
        <v>447793</v>
      </c>
      <c r="T271" s="753">
        <v>447793</v>
      </c>
      <c r="U271" s="753">
        <v>50291</v>
      </c>
      <c r="V271" s="751">
        <v>2019</v>
      </c>
      <c r="W271" s="222"/>
      <c r="X271" s="186"/>
      <c r="Y271" s="178" t="str">
        <f t="shared" si="14"/>
        <v/>
      </c>
      <c r="Z271" s="178" t="str">
        <f t="shared" si="15"/>
        <v/>
      </c>
      <c r="AA271" s="44"/>
      <c r="AB271" s="65"/>
    </row>
    <row r="272" spans="1:28" hidden="1">
      <c r="A272" s="751">
        <v>2571</v>
      </c>
      <c r="B272" s="752" t="s">
        <v>35</v>
      </c>
      <c r="C272" s="751" t="s">
        <v>2960</v>
      </c>
      <c r="D272" s="752" t="s">
        <v>681</v>
      </c>
      <c r="E272" s="752" t="s">
        <v>123</v>
      </c>
      <c r="F272" s="751">
        <v>5914</v>
      </c>
      <c r="G272" s="752" t="s">
        <v>59</v>
      </c>
      <c r="H272" s="752" t="s">
        <v>1244</v>
      </c>
      <c r="I272" s="752" t="s">
        <v>60</v>
      </c>
      <c r="J272" s="751">
        <v>22</v>
      </c>
      <c r="K272" s="751">
        <v>2</v>
      </c>
      <c r="L272" s="752" t="s">
        <v>54</v>
      </c>
      <c r="M272" s="752" t="s">
        <v>37</v>
      </c>
      <c r="N272" s="752" t="s">
        <v>38</v>
      </c>
      <c r="O272" s="752" t="s">
        <v>39</v>
      </c>
      <c r="P272" s="752" t="s">
        <v>1238</v>
      </c>
      <c r="Q272" s="753">
        <v>0</v>
      </c>
      <c r="R272" s="753">
        <v>0</v>
      </c>
      <c r="S272" s="753">
        <v>471094</v>
      </c>
      <c r="T272" s="753">
        <v>471094</v>
      </c>
      <c r="U272" s="753">
        <v>52908</v>
      </c>
      <c r="V272" s="751">
        <v>2019</v>
      </c>
      <c r="W272" s="222"/>
      <c r="X272" s="186"/>
      <c r="Y272" s="178" t="str">
        <f t="shared" si="14"/>
        <v/>
      </c>
      <c r="Z272" s="178" t="str">
        <f t="shared" si="15"/>
        <v/>
      </c>
      <c r="AA272" s="44"/>
      <c r="AB272" s="65"/>
    </row>
    <row r="273" spans="1:28" hidden="1">
      <c r="A273" s="751">
        <v>2572</v>
      </c>
      <c r="B273" s="752" t="s">
        <v>35</v>
      </c>
      <c r="C273" s="751" t="s">
        <v>2960</v>
      </c>
      <c r="D273" s="752" t="s">
        <v>682</v>
      </c>
      <c r="E273" s="752" t="s">
        <v>123</v>
      </c>
      <c r="F273" s="751">
        <v>5914</v>
      </c>
      <c r="G273" s="752" t="s">
        <v>59</v>
      </c>
      <c r="H273" s="752" t="s">
        <v>1244</v>
      </c>
      <c r="I273" s="752" t="s">
        <v>60</v>
      </c>
      <c r="J273" s="751">
        <v>22</v>
      </c>
      <c r="K273" s="751">
        <v>2</v>
      </c>
      <c r="L273" s="752" t="s">
        <v>54</v>
      </c>
      <c r="M273" s="752" t="s">
        <v>37</v>
      </c>
      <c r="N273" s="752" t="s">
        <v>38</v>
      </c>
      <c r="O273" s="752" t="s">
        <v>39</v>
      </c>
      <c r="P273" s="752" t="s">
        <v>1238</v>
      </c>
      <c r="Q273" s="753">
        <v>0</v>
      </c>
      <c r="R273" s="753">
        <v>0</v>
      </c>
      <c r="S273" s="753">
        <v>255908</v>
      </c>
      <c r="T273" s="753">
        <v>255908</v>
      </c>
      <c r="U273" s="753">
        <v>28741</v>
      </c>
      <c r="V273" s="751">
        <v>2019</v>
      </c>
      <c r="W273" s="222"/>
      <c r="X273" s="186"/>
      <c r="Y273" s="178" t="str">
        <f t="shared" si="14"/>
        <v/>
      </c>
      <c r="Z273" s="178" t="str">
        <f t="shared" si="15"/>
        <v/>
      </c>
      <c r="AA273" s="44"/>
      <c r="AB273" s="65"/>
    </row>
    <row r="274" spans="1:28" hidden="1">
      <c r="A274" s="751">
        <v>2573</v>
      </c>
      <c r="B274" s="752" t="s">
        <v>35</v>
      </c>
      <c r="C274" s="751" t="s">
        <v>2960</v>
      </c>
      <c r="D274" s="752" t="s">
        <v>683</v>
      </c>
      <c r="E274" s="752" t="s">
        <v>123</v>
      </c>
      <c r="F274" s="751">
        <v>5914</v>
      </c>
      <c r="G274" s="752" t="s">
        <v>59</v>
      </c>
      <c r="H274" s="752" t="s">
        <v>1244</v>
      </c>
      <c r="I274" s="752" t="s">
        <v>60</v>
      </c>
      <c r="J274" s="751">
        <v>22</v>
      </c>
      <c r="K274" s="751">
        <v>2</v>
      </c>
      <c r="L274" s="752" t="s">
        <v>54</v>
      </c>
      <c r="M274" s="752" t="s">
        <v>37</v>
      </c>
      <c r="N274" s="752" t="s">
        <v>38</v>
      </c>
      <c r="O274" s="752" t="s">
        <v>39</v>
      </c>
      <c r="P274" s="752" t="s">
        <v>1238</v>
      </c>
      <c r="Q274" s="753">
        <v>0</v>
      </c>
      <c r="R274" s="753">
        <v>0</v>
      </c>
      <c r="S274" s="753">
        <v>36238</v>
      </c>
      <c r="T274" s="753">
        <v>36238</v>
      </c>
      <c r="U274" s="753">
        <v>4070</v>
      </c>
      <c r="V274" s="751">
        <v>2019</v>
      </c>
      <c r="W274" s="222"/>
      <c r="X274" s="186"/>
      <c r="Y274" s="178" t="str">
        <f t="shared" si="14"/>
        <v/>
      </c>
      <c r="Z274" s="178" t="str">
        <f t="shared" si="15"/>
        <v/>
      </c>
      <c r="AA274" s="44"/>
      <c r="AB274" s="65"/>
    </row>
    <row r="275" spans="1:28" hidden="1">
      <c r="A275" s="751">
        <v>2574</v>
      </c>
      <c r="B275" s="752" t="s">
        <v>35</v>
      </c>
      <c r="C275" s="751" t="s">
        <v>2960</v>
      </c>
      <c r="D275" s="752" t="s">
        <v>684</v>
      </c>
      <c r="E275" s="752" t="s">
        <v>685</v>
      </c>
      <c r="F275" s="751">
        <v>14240</v>
      </c>
      <c r="G275" s="752" t="s">
        <v>59</v>
      </c>
      <c r="H275" s="752" t="s">
        <v>1244</v>
      </c>
      <c r="I275" s="752" t="s">
        <v>60</v>
      </c>
      <c r="J275" s="751">
        <v>22</v>
      </c>
      <c r="K275" s="751">
        <v>1</v>
      </c>
      <c r="L275" s="752" t="s">
        <v>36</v>
      </c>
      <c r="M275" s="752" t="s">
        <v>37</v>
      </c>
      <c r="N275" s="752" t="s">
        <v>38</v>
      </c>
      <c r="O275" s="752" t="s">
        <v>39</v>
      </c>
      <c r="P275" s="752" t="s">
        <v>1238</v>
      </c>
      <c r="Q275" s="753">
        <v>0</v>
      </c>
      <c r="R275" s="753">
        <v>0</v>
      </c>
      <c r="S275" s="753">
        <v>388365</v>
      </c>
      <c r="T275" s="753">
        <v>388365</v>
      </c>
      <c r="U275" s="753">
        <v>43617</v>
      </c>
      <c r="V275" s="751">
        <v>2019</v>
      </c>
      <c r="W275" s="222"/>
      <c r="X275" s="186"/>
      <c r="Y275" s="178" t="str">
        <f t="shared" si="14"/>
        <v/>
      </c>
      <c r="Z275" s="178" t="str">
        <f t="shared" si="15"/>
        <v/>
      </c>
      <c r="AA275" s="44"/>
      <c r="AB275" s="65"/>
    </row>
    <row r="276" spans="1:28" hidden="1">
      <c r="A276" s="751">
        <v>2575</v>
      </c>
      <c r="B276" s="752" t="s">
        <v>35</v>
      </c>
      <c r="C276" s="751" t="s">
        <v>2960</v>
      </c>
      <c r="D276" s="752" t="s">
        <v>1652</v>
      </c>
      <c r="E276" s="752" t="s">
        <v>123</v>
      </c>
      <c r="F276" s="751">
        <v>5914</v>
      </c>
      <c r="G276" s="752" t="s">
        <v>59</v>
      </c>
      <c r="H276" s="752" t="s">
        <v>1244</v>
      </c>
      <c r="I276" s="752" t="s">
        <v>60</v>
      </c>
      <c r="J276" s="751">
        <v>22</v>
      </c>
      <c r="K276" s="751">
        <v>2</v>
      </c>
      <c r="L276" s="752" t="s">
        <v>54</v>
      </c>
      <c r="M276" s="752" t="s">
        <v>37</v>
      </c>
      <c r="N276" s="752" t="s">
        <v>38</v>
      </c>
      <c r="O276" s="752" t="s">
        <v>39</v>
      </c>
      <c r="P276" s="752" t="s">
        <v>1238</v>
      </c>
      <c r="Q276" s="753">
        <v>0</v>
      </c>
      <c r="R276" s="753">
        <v>0</v>
      </c>
      <c r="S276" s="753">
        <v>336587</v>
      </c>
      <c r="T276" s="753">
        <v>336587</v>
      </c>
      <c r="U276" s="753">
        <v>37802</v>
      </c>
      <c r="V276" s="751">
        <v>2019</v>
      </c>
      <c r="W276" s="222"/>
      <c r="X276" s="186"/>
      <c r="Y276" s="178" t="str">
        <f t="shared" si="14"/>
        <v/>
      </c>
      <c r="Z276" s="178" t="str">
        <f t="shared" si="15"/>
        <v/>
      </c>
      <c r="AA276" s="44"/>
      <c r="AB276" s="65"/>
    </row>
    <row r="277" spans="1:28" hidden="1">
      <c r="A277" s="751">
        <v>2576</v>
      </c>
      <c r="B277" s="752" t="s">
        <v>35</v>
      </c>
      <c r="C277" s="751" t="s">
        <v>2960</v>
      </c>
      <c r="D277" s="752" t="s">
        <v>686</v>
      </c>
      <c r="E277" s="752" t="s">
        <v>123</v>
      </c>
      <c r="F277" s="751">
        <v>5914</v>
      </c>
      <c r="G277" s="752" t="s">
        <v>59</v>
      </c>
      <c r="H277" s="752" t="s">
        <v>1244</v>
      </c>
      <c r="I277" s="752" t="s">
        <v>60</v>
      </c>
      <c r="J277" s="751">
        <v>22</v>
      </c>
      <c r="K277" s="751">
        <v>2</v>
      </c>
      <c r="L277" s="752" t="s">
        <v>54</v>
      </c>
      <c r="M277" s="752" t="s">
        <v>37</v>
      </c>
      <c r="N277" s="752" t="s">
        <v>38</v>
      </c>
      <c r="O277" s="752" t="s">
        <v>39</v>
      </c>
      <c r="P277" s="752" t="s">
        <v>1238</v>
      </c>
      <c r="Q277" s="753">
        <v>0</v>
      </c>
      <c r="R277" s="753">
        <v>0</v>
      </c>
      <c r="S277" s="753">
        <v>350256</v>
      </c>
      <c r="T277" s="753">
        <v>350256</v>
      </c>
      <c r="U277" s="753">
        <v>39337</v>
      </c>
      <c r="V277" s="751">
        <v>2019</v>
      </c>
      <c r="W277" s="222"/>
      <c r="X277" s="186"/>
      <c r="Y277" s="178" t="str">
        <f t="shared" si="14"/>
        <v/>
      </c>
      <c r="Z277" s="178" t="str">
        <f t="shared" si="15"/>
        <v/>
      </c>
      <c r="AA277" s="44"/>
      <c r="AB277" s="65"/>
    </row>
    <row r="278" spans="1:28" hidden="1">
      <c r="A278" s="751">
        <v>2578</v>
      </c>
      <c r="B278" s="752" t="s">
        <v>35</v>
      </c>
      <c r="C278" s="751" t="s">
        <v>2960</v>
      </c>
      <c r="D278" s="752" t="s">
        <v>687</v>
      </c>
      <c r="E278" s="752" t="s">
        <v>123</v>
      </c>
      <c r="F278" s="751">
        <v>5914</v>
      </c>
      <c r="G278" s="752" t="s">
        <v>59</v>
      </c>
      <c r="H278" s="752" t="s">
        <v>1244</v>
      </c>
      <c r="I278" s="752" t="s">
        <v>60</v>
      </c>
      <c r="J278" s="751">
        <v>22</v>
      </c>
      <c r="K278" s="751">
        <v>2</v>
      </c>
      <c r="L278" s="752" t="s">
        <v>54</v>
      </c>
      <c r="M278" s="752" t="s">
        <v>37</v>
      </c>
      <c r="N278" s="752" t="s">
        <v>38</v>
      </c>
      <c r="O278" s="752" t="s">
        <v>39</v>
      </c>
      <c r="P278" s="752" t="s">
        <v>1238</v>
      </c>
      <c r="Q278" s="753">
        <v>0</v>
      </c>
      <c r="R278" s="753">
        <v>0</v>
      </c>
      <c r="S278" s="753">
        <v>68552</v>
      </c>
      <c r="T278" s="753">
        <v>68552</v>
      </c>
      <c r="U278" s="753">
        <v>7699</v>
      </c>
      <c r="V278" s="751">
        <v>2019</v>
      </c>
      <c r="W278" s="222"/>
      <c r="X278" s="186"/>
      <c r="Y278" s="178" t="str">
        <f t="shared" si="14"/>
        <v/>
      </c>
      <c r="Z278" s="178" t="str">
        <f t="shared" si="15"/>
        <v/>
      </c>
      <c r="AA278" s="44"/>
      <c r="AB278" s="65"/>
    </row>
    <row r="279" spans="1:28" hidden="1">
      <c r="A279" s="751">
        <v>2579</v>
      </c>
      <c r="B279" s="752" t="s">
        <v>35</v>
      </c>
      <c r="C279" s="751" t="s">
        <v>2960</v>
      </c>
      <c r="D279" s="752" t="s">
        <v>688</v>
      </c>
      <c r="E279" s="752" t="s">
        <v>123</v>
      </c>
      <c r="F279" s="751">
        <v>5914</v>
      </c>
      <c r="G279" s="752" t="s">
        <v>59</v>
      </c>
      <c r="H279" s="752" t="s">
        <v>1244</v>
      </c>
      <c r="I279" s="752" t="s">
        <v>60</v>
      </c>
      <c r="J279" s="751">
        <v>22</v>
      </c>
      <c r="K279" s="751">
        <v>2</v>
      </c>
      <c r="L279" s="752" t="s">
        <v>54</v>
      </c>
      <c r="M279" s="752" t="s">
        <v>37</v>
      </c>
      <c r="N279" s="752" t="s">
        <v>38</v>
      </c>
      <c r="O279" s="752" t="s">
        <v>39</v>
      </c>
      <c r="P279" s="752" t="s">
        <v>1238</v>
      </c>
      <c r="Q279" s="753">
        <v>0</v>
      </c>
      <c r="R279" s="753">
        <v>0</v>
      </c>
      <c r="S279" s="753">
        <v>278455</v>
      </c>
      <c r="T279" s="753">
        <v>278455</v>
      </c>
      <c r="U279" s="753">
        <v>31273</v>
      </c>
      <c r="V279" s="751">
        <v>2019</v>
      </c>
      <c r="W279" s="222"/>
      <c r="X279" s="186"/>
      <c r="Y279" s="178" t="str">
        <f t="shared" si="14"/>
        <v/>
      </c>
      <c r="Z279" s="178" t="str">
        <f t="shared" si="15"/>
        <v/>
      </c>
      <c r="AA279" s="44"/>
      <c r="AB279" s="65"/>
    </row>
    <row r="280" spans="1:28" hidden="1">
      <c r="A280" s="751">
        <v>2580</v>
      </c>
      <c r="B280" s="752" t="s">
        <v>35</v>
      </c>
      <c r="C280" s="751" t="s">
        <v>2960</v>
      </c>
      <c r="D280" s="752" t="s">
        <v>1653</v>
      </c>
      <c r="E280" s="752" t="s">
        <v>123</v>
      </c>
      <c r="F280" s="751">
        <v>5914</v>
      </c>
      <c r="G280" s="752" t="s">
        <v>59</v>
      </c>
      <c r="H280" s="752" t="s">
        <v>1244</v>
      </c>
      <c r="I280" s="752" t="s">
        <v>60</v>
      </c>
      <c r="J280" s="751">
        <v>22</v>
      </c>
      <c r="K280" s="751">
        <v>2</v>
      </c>
      <c r="L280" s="752" t="s">
        <v>54</v>
      </c>
      <c r="M280" s="752" t="s">
        <v>37</v>
      </c>
      <c r="N280" s="752" t="s">
        <v>38</v>
      </c>
      <c r="O280" s="752" t="s">
        <v>39</v>
      </c>
      <c r="P280" s="752" t="s">
        <v>1238</v>
      </c>
      <c r="Q280" s="753">
        <v>0</v>
      </c>
      <c r="R280" s="753">
        <v>0</v>
      </c>
      <c r="S280" s="753">
        <v>54227</v>
      </c>
      <c r="T280" s="753">
        <v>54227</v>
      </c>
      <c r="U280" s="753">
        <v>6090</v>
      </c>
      <c r="V280" s="751">
        <v>2019</v>
      </c>
      <c r="W280" s="222"/>
      <c r="X280" s="186"/>
      <c r="Y280" s="178" t="str">
        <f t="shared" si="14"/>
        <v/>
      </c>
      <c r="Z280" s="178" t="str">
        <f t="shared" si="15"/>
        <v/>
      </c>
      <c r="AA280" s="44"/>
      <c r="AB280" s="65"/>
    </row>
    <row r="281" spans="1:28" hidden="1">
      <c r="A281" s="751">
        <v>2581</v>
      </c>
      <c r="B281" s="752" t="s">
        <v>35</v>
      </c>
      <c r="C281" s="751" t="s">
        <v>2960</v>
      </c>
      <c r="D281" s="752" t="s">
        <v>689</v>
      </c>
      <c r="E281" s="752" t="s">
        <v>123</v>
      </c>
      <c r="F281" s="751">
        <v>5914</v>
      </c>
      <c r="G281" s="752" t="s">
        <v>59</v>
      </c>
      <c r="H281" s="752" t="s">
        <v>1244</v>
      </c>
      <c r="I281" s="752" t="s">
        <v>60</v>
      </c>
      <c r="J281" s="751">
        <v>22</v>
      </c>
      <c r="K281" s="751">
        <v>2</v>
      </c>
      <c r="L281" s="752" t="s">
        <v>54</v>
      </c>
      <c r="M281" s="752" t="s">
        <v>37</v>
      </c>
      <c r="N281" s="752" t="s">
        <v>38</v>
      </c>
      <c r="O281" s="752" t="s">
        <v>39</v>
      </c>
      <c r="P281" s="752" t="s">
        <v>1238</v>
      </c>
      <c r="Q281" s="753">
        <v>0</v>
      </c>
      <c r="R281" s="753">
        <v>0</v>
      </c>
      <c r="S281" s="753">
        <v>205538</v>
      </c>
      <c r="T281" s="753">
        <v>205538</v>
      </c>
      <c r="U281" s="753">
        <v>23084</v>
      </c>
      <c r="V281" s="751">
        <v>2019</v>
      </c>
      <c r="W281" s="222"/>
      <c r="X281" s="186"/>
      <c r="Y281" s="178" t="str">
        <f t="shared" si="14"/>
        <v/>
      </c>
      <c r="Z281" s="178" t="str">
        <f t="shared" si="15"/>
        <v/>
      </c>
      <c r="AA281" s="44"/>
      <c r="AB281" s="65"/>
    </row>
    <row r="282" spans="1:28" hidden="1">
      <c r="A282" s="751">
        <v>2582</v>
      </c>
      <c r="B282" s="752" t="s">
        <v>35</v>
      </c>
      <c r="C282" s="751" t="s">
        <v>2960</v>
      </c>
      <c r="D282" s="752" t="s">
        <v>690</v>
      </c>
      <c r="E282" s="752" t="s">
        <v>123</v>
      </c>
      <c r="F282" s="751">
        <v>5914</v>
      </c>
      <c r="G282" s="752" t="s">
        <v>59</v>
      </c>
      <c r="H282" s="752" t="s">
        <v>1244</v>
      </c>
      <c r="I282" s="752" t="s">
        <v>60</v>
      </c>
      <c r="J282" s="751">
        <v>22</v>
      </c>
      <c r="K282" s="751">
        <v>2</v>
      </c>
      <c r="L282" s="752" t="s">
        <v>54</v>
      </c>
      <c r="M282" s="752" t="s">
        <v>37</v>
      </c>
      <c r="N282" s="752" t="s">
        <v>38</v>
      </c>
      <c r="O282" s="752" t="s">
        <v>39</v>
      </c>
      <c r="P282" s="752" t="s">
        <v>1238</v>
      </c>
      <c r="Q282" s="753">
        <v>0</v>
      </c>
      <c r="R282" s="753">
        <v>0</v>
      </c>
      <c r="S282" s="753">
        <v>225628</v>
      </c>
      <c r="T282" s="753">
        <v>225628</v>
      </c>
      <c r="U282" s="753">
        <v>25340</v>
      </c>
      <c r="V282" s="751">
        <v>2019</v>
      </c>
      <c r="W282" s="222"/>
      <c r="X282" s="186"/>
      <c r="Y282" s="178" t="str">
        <f t="shared" si="14"/>
        <v/>
      </c>
      <c r="Z282" s="178" t="str">
        <f t="shared" si="15"/>
        <v/>
      </c>
      <c r="AA282" s="44"/>
      <c r="AB282" s="65"/>
    </row>
    <row r="283" spans="1:28" hidden="1">
      <c r="A283" s="751">
        <v>2583</v>
      </c>
      <c r="B283" s="752" t="s">
        <v>35</v>
      </c>
      <c r="C283" s="751" t="s">
        <v>2960</v>
      </c>
      <c r="D283" s="752" t="s">
        <v>691</v>
      </c>
      <c r="E283" s="752" t="s">
        <v>123</v>
      </c>
      <c r="F283" s="751">
        <v>5914</v>
      </c>
      <c r="G283" s="752" t="s">
        <v>59</v>
      </c>
      <c r="H283" s="752" t="s">
        <v>1244</v>
      </c>
      <c r="I283" s="752" t="s">
        <v>60</v>
      </c>
      <c r="J283" s="751">
        <v>22</v>
      </c>
      <c r="K283" s="751">
        <v>2</v>
      </c>
      <c r="L283" s="752" t="s">
        <v>54</v>
      </c>
      <c r="M283" s="752" t="s">
        <v>37</v>
      </c>
      <c r="N283" s="752" t="s">
        <v>38</v>
      </c>
      <c r="O283" s="752" t="s">
        <v>39</v>
      </c>
      <c r="P283" s="752" t="s">
        <v>1238</v>
      </c>
      <c r="Q283" s="753">
        <v>0</v>
      </c>
      <c r="R283" s="753">
        <v>0</v>
      </c>
      <c r="S283" s="753">
        <v>57369</v>
      </c>
      <c r="T283" s="753">
        <v>57369</v>
      </c>
      <c r="U283" s="753">
        <v>6443</v>
      </c>
      <c r="V283" s="751">
        <v>2019</v>
      </c>
      <c r="W283" s="222"/>
      <c r="X283" s="186"/>
      <c r="Y283" s="178" t="str">
        <f t="shared" si="14"/>
        <v/>
      </c>
      <c r="Z283" s="178" t="str">
        <f t="shared" si="15"/>
        <v/>
      </c>
      <c r="AA283" s="44"/>
      <c r="AB283" s="65"/>
    </row>
    <row r="284" spans="1:28" hidden="1">
      <c r="A284" s="751">
        <v>2586</v>
      </c>
      <c r="B284" s="752" t="s">
        <v>35</v>
      </c>
      <c r="C284" s="751" t="s">
        <v>2960</v>
      </c>
      <c r="D284" s="752" t="s">
        <v>692</v>
      </c>
      <c r="E284" s="752" t="s">
        <v>123</v>
      </c>
      <c r="F284" s="751">
        <v>5914</v>
      </c>
      <c r="G284" s="752" t="s">
        <v>59</v>
      </c>
      <c r="H284" s="752" t="s">
        <v>1244</v>
      </c>
      <c r="I284" s="752" t="s">
        <v>60</v>
      </c>
      <c r="J284" s="751">
        <v>22</v>
      </c>
      <c r="K284" s="751">
        <v>2</v>
      </c>
      <c r="L284" s="752" t="s">
        <v>54</v>
      </c>
      <c r="M284" s="752" t="s">
        <v>37</v>
      </c>
      <c r="N284" s="752" t="s">
        <v>38</v>
      </c>
      <c r="O284" s="752" t="s">
        <v>39</v>
      </c>
      <c r="P284" s="752" t="s">
        <v>1238</v>
      </c>
      <c r="Q284" s="753">
        <v>0</v>
      </c>
      <c r="R284" s="753">
        <v>0</v>
      </c>
      <c r="S284" s="753">
        <v>336759</v>
      </c>
      <c r="T284" s="753">
        <v>336759</v>
      </c>
      <c r="U284" s="753">
        <v>37821</v>
      </c>
      <c r="V284" s="751">
        <v>2019</v>
      </c>
      <c r="W284" s="222"/>
      <c r="X284" s="186"/>
      <c r="Y284" s="178" t="str">
        <f t="shared" si="14"/>
        <v/>
      </c>
      <c r="Z284" s="178" t="str">
        <f t="shared" si="15"/>
        <v/>
      </c>
      <c r="AA284" s="44"/>
      <c r="AB284" s="65"/>
    </row>
    <row r="285" spans="1:28" hidden="1">
      <c r="A285" s="751">
        <v>2588</v>
      </c>
      <c r="B285" s="752" t="s">
        <v>35</v>
      </c>
      <c r="C285" s="751" t="s">
        <v>2960</v>
      </c>
      <c r="D285" s="752" t="s">
        <v>693</v>
      </c>
      <c r="E285" s="752" t="s">
        <v>123</v>
      </c>
      <c r="F285" s="751">
        <v>5914</v>
      </c>
      <c r="G285" s="752" t="s">
        <v>59</v>
      </c>
      <c r="H285" s="752" t="s">
        <v>1244</v>
      </c>
      <c r="I285" s="752" t="s">
        <v>60</v>
      </c>
      <c r="J285" s="751">
        <v>22</v>
      </c>
      <c r="K285" s="751">
        <v>2</v>
      </c>
      <c r="L285" s="752" t="s">
        <v>54</v>
      </c>
      <c r="M285" s="752" t="s">
        <v>37</v>
      </c>
      <c r="N285" s="752" t="s">
        <v>38</v>
      </c>
      <c r="O285" s="752" t="s">
        <v>39</v>
      </c>
      <c r="P285" s="752" t="s">
        <v>1238</v>
      </c>
      <c r="Q285" s="753">
        <v>0</v>
      </c>
      <c r="R285" s="753">
        <v>0</v>
      </c>
      <c r="S285" s="753">
        <v>411515</v>
      </c>
      <c r="T285" s="753">
        <v>411515</v>
      </c>
      <c r="U285" s="753">
        <v>46217</v>
      </c>
      <c r="V285" s="751">
        <v>2019</v>
      </c>
      <c r="W285" s="222"/>
      <c r="X285" s="186"/>
      <c r="Y285" s="178" t="str">
        <f t="shared" si="14"/>
        <v/>
      </c>
      <c r="Z285" s="178" t="str">
        <f t="shared" si="15"/>
        <v/>
      </c>
      <c r="AA285" s="44"/>
      <c r="AB285" s="65"/>
    </row>
    <row r="286" spans="1:28" hidden="1">
      <c r="A286" s="751">
        <v>2589</v>
      </c>
      <c r="B286" s="752" t="s">
        <v>35</v>
      </c>
      <c r="C286" s="751">
        <v>1</v>
      </c>
      <c r="D286" s="752" t="s">
        <v>124</v>
      </c>
      <c r="E286" s="752" t="s">
        <v>1927</v>
      </c>
      <c r="F286" s="751">
        <v>55951</v>
      </c>
      <c r="G286" s="752" t="s">
        <v>59</v>
      </c>
      <c r="H286" s="752" t="s">
        <v>1244</v>
      </c>
      <c r="I286" s="752" t="s">
        <v>60</v>
      </c>
      <c r="J286" s="751">
        <v>22</v>
      </c>
      <c r="K286" s="751">
        <v>2</v>
      </c>
      <c r="L286" s="752" t="s">
        <v>54</v>
      </c>
      <c r="M286" s="752" t="s">
        <v>44</v>
      </c>
      <c r="N286" s="752" t="s">
        <v>55</v>
      </c>
      <c r="O286" s="752" t="s">
        <v>55</v>
      </c>
      <c r="P286" s="752" t="s">
        <v>1238</v>
      </c>
      <c r="Q286" s="753">
        <v>0</v>
      </c>
      <c r="R286" s="753">
        <v>0</v>
      </c>
      <c r="S286" s="753">
        <v>48075077</v>
      </c>
      <c r="T286" s="753">
        <v>48075077</v>
      </c>
      <c r="U286" s="753">
        <v>4604183</v>
      </c>
      <c r="V286" s="751">
        <v>2019</v>
      </c>
      <c r="W286" s="222"/>
      <c r="X286" s="186"/>
      <c r="Y286" s="178" t="str">
        <f t="shared" si="14"/>
        <v/>
      </c>
      <c r="Z286" s="178" t="str">
        <f t="shared" si="15"/>
        <v/>
      </c>
      <c r="AA286" s="44"/>
      <c r="AB286" s="65"/>
    </row>
    <row r="287" spans="1:28" hidden="1">
      <c r="A287" s="751">
        <v>2589</v>
      </c>
      <c r="B287" s="752" t="s">
        <v>35</v>
      </c>
      <c r="C287" s="751">
        <v>2</v>
      </c>
      <c r="D287" s="752" t="s">
        <v>124</v>
      </c>
      <c r="E287" s="752" t="s">
        <v>1927</v>
      </c>
      <c r="F287" s="751">
        <v>55951</v>
      </c>
      <c r="G287" s="752" t="s">
        <v>59</v>
      </c>
      <c r="H287" s="752" t="s">
        <v>1244</v>
      </c>
      <c r="I287" s="752" t="s">
        <v>60</v>
      </c>
      <c r="J287" s="751">
        <v>22</v>
      </c>
      <c r="K287" s="751">
        <v>2</v>
      </c>
      <c r="L287" s="752" t="s">
        <v>54</v>
      </c>
      <c r="M287" s="752" t="s">
        <v>44</v>
      </c>
      <c r="N287" s="752" t="s">
        <v>55</v>
      </c>
      <c r="O287" s="752" t="s">
        <v>55</v>
      </c>
      <c r="P287" s="752" t="s">
        <v>1238</v>
      </c>
      <c r="Q287" s="753">
        <v>0</v>
      </c>
      <c r="R287" s="753">
        <v>0</v>
      </c>
      <c r="S287" s="753">
        <v>117125540</v>
      </c>
      <c r="T287" s="753">
        <v>117125540</v>
      </c>
      <c r="U287" s="753">
        <v>11217193</v>
      </c>
      <c r="V287" s="751">
        <v>2019</v>
      </c>
      <c r="W287" s="222"/>
      <c r="X287" s="186">
        <f>IF(OR(K287&gt;3,T287=0,NOT(U287&gt;0)),"",T287/U287)</f>
        <v>10.441608698361524</v>
      </c>
      <c r="Y287" s="178" t="str">
        <f t="shared" si="14"/>
        <v/>
      </c>
      <c r="Z287" s="178" t="str">
        <f t="shared" si="15"/>
        <v/>
      </c>
      <c r="AA287" s="44"/>
      <c r="AB287" s="65"/>
    </row>
    <row r="288" spans="1:28" hidden="1">
      <c r="A288" s="751">
        <v>2590</v>
      </c>
      <c r="B288" s="752" t="s">
        <v>35</v>
      </c>
      <c r="C288" s="751" t="s">
        <v>2960</v>
      </c>
      <c r="D288" s="752" t="s">
        <v>694</v>
      </c>
      <c r="E288" s="752" t="s">
        <v>123</v>
      </c>
      <c r="F288" s="751">
        <v>5914</v>
      </c>
      <c r="G288" s="752" t="s">
        <v>59</v>
      </c>
      <c r="H288" s="752" t="s">
        <v>1244</v>
      </c>
      <c r="I288" s="752" t="s">
        <v>60</v>
      </c>
      <c r="J288" s="751">
        <v>22</v>
      </c>
      <c r="K288" s="751">
        <v>2</v>
      </c>
      <c r="L288" s="752" t="s">
        <v>54</v>
      </c>
      <c r="M288" s="752" t="s">
        <v>37</v>
      </c>
      <c r="N288" s="752" t="s">
        <v>38</v>
      </c>
      <c r="O288" s="752" t="s">
        <v>39</v>
      </c>
      <c r="P288" s="752" t="s">
        <v>1238</v>
      </c>
      <c r="Q288" s="753">
        <v>0</v>
      </c>
      <c r="R288" s="753">
        <v>0</v>
      </c>
      <c r="S288" s="753">
        <v>239963</v>
      </c>
      <c r="T288" s="753">
        <v>239963</v>
      </c>
      <c r="U288" s="753">
        <v>26950</v>
      </c>
      <c r="V288" s="751">
        <v>2019</v>
      </c>
      <c r="W288" s="222"/>
      <c r="X288" s="186">
        <f>IF(OR(K288&gt;3,T288=0,NOT(U288&gt;0)),"",T288/U288)</f>
        <v>8.9040074211502791</v>
      </c>
      <c r="Y288" s="178" t="str">
        <f t="shared" si="14"/>
        <v/>
      </c>
      <c r="Z288" s="178" t="str">
        <f t="shared" si="15"/>
        <v/>
      </c>
      <c r="AA288" s="44"/>
      <c r="AB288" s="65"/>
    </row>
    <row r="289" spans="1:28" hidden="1">
      <c r="A289" s="751">
        <v>2591</v>
      </c>
      <c r="B289" s="752" t="s">
        <v>35</v>
      </c>
      <c r="C289" s="751" t="s">
        <v>2960</v>
      </c>
      <c r="D289" s="752" t="s">
        <v>695</v>
      </c>
      <c r="E289" s="752" t="s">
        <v>123</v>
      </c>
      <c r="F289" s="751">
        <v>5914</v>
      </c>
      <c r="G289" s="752" t="s">
        <v>59</v>
      </c>
      <c r="H289" s="752" t="s">
        <v>1244</v>
      </c>
      <c r="I289" s="752" t="s">
        <v>60</v>
      </c>
      <c r="J289" s="751">
        <v>22</v>
      </c>
      <c r="K289" s="751">
        <v>2</v>
      </c>
      <c r="L289" s="752" t="s">
        <v>54</v>
      </c>
      <c r="M289" s="752" t="s">
        <v>37</v>
      </c>
      <c r="N289" s="752" t="s">
        <v>38</v>
      </c>
      <c r="O289" s="752" t="s">
        <v>39</v>
      </c>
      <c r="P289" s="752" t="s">
        <v>1238</v>
      </c>
      <c r="Q289" s="753">
        <v>0</v>
      </c>
      <c r="R289" s="753">
        <v>0</v>
      </c>
      <c r="S289" s="753">
        <v>92539</v>
      </c>
      <c r="T289" s="753">
        <v>92539</v>
      </c>
      <c r="U289" s="753">
        <v>10393</v>
      </c>
      <c r="V289" s="751">
        <v>2019</v>
      </c>
      <c r="W289" s="222"/>
      <c r="X289" s="186"/>
      <c r="Y289" s="178" t="str">
        <f t="shared" si="14"/>
        <v/>
      </c>
      <c r="Z289" s="178" t="str">
        <f t="shared" si="15"/>
        <v/>
      </c>
      <c r="AA289" s="44"/>
      <c r="AB289" s="65"/>
    </row>
    <row r="290" spans="1:28" ht="25" hidden="1">
      <c r="A290" s="751">
        <v>2594</v>
      </c>
      <c r="B290" s="752" t="s">
        <v>35</v>
      </c>
      <c r="C290" s="751" t="s">
        <v>2960</v>
      </c>
      <c r="D290" s="752" t="s">
        <v>125</v>
      </c>
      <c r="E290" s="752" t="s">
        <v>126</v>
      </c>
      <c r="F290" s="751">
        <v>13923</v>
      </c>
      <c r="G290" s="752" t="s">
        <v>59</v>
      </c>
      <c r="H290" s="752" t="s">
        <v>1244</v>
      </c>
      <c r="I290" s="752" t="s">
        <v>60</v>
      </c>
      <c r="J290" s="751">
        <v>22</v>
      </c>
      <c r="K290" s="751">
        <v>2</v>
      </c>
      <c r="L290" s="752" t="s">
        <v>54</v>
      </c>
      <c r="M290" s="752" t="s">
        <v>44</v>
      </c>
      <c r="N290" s="752" t="s">
        <v>48</v>
      </c>
      <c r="O290" s="752" t="s">
        <v>48</v>
      </c>
      <c r="P290" s="752" t="s">
        <v>49</v>
      </c>
      <c r="Q290" s="753">
        <v>0</v>
      </c>
      <c r="R290" s="753">
        <v>0</v>
      </c>
      <c r="S290" s="753">
        <v>0</v>
      </c>
      <c r="T290" s="753">
        <v>0</v>
      </c>
      <c r="U290" s="753">
        <v>0</v>
      </c>
      <c r="V290" s="751">
        <v>2019</v>
      </c>
      <c r="W290" s="222" t="s">
        <v>2666</v>
      </c>
      <c r="X290" s="186"/>
      <c r="Y290" s="178" t="str">
        <f t="shared" si="14"/>
        <v/>
      </c>
      <c r="Z290" s="178" t="str">
        <f t="shared" si="15"/>
        <v/>
      </c>
      <c r="AA290" s="44"/>
      <c r="AB290" s="65"/>
    </row>
    <row r="291" spans="1:28" ht="25" hidden="1">
      <c r="A291" s="751">
        <v>2594</v>
      </c>
      <c r="B291" s="752" t="s">
        <v>35</v>
      </c>
      <c r="C291" s="751" t="s">
        <v>2960</v>
      </c>
      <c r="D291" s="752" t="s">
        <v>125</v>
      </c>
      <c r="E291" s="752" t="s">
        <v>126</v>
      </c>
      <c r="F291" s="751">
        <v>13923</v>
      </c>
      <c r="G291" s="752" t="s">
        <v>59</v>
      </c>
      <c r="H291" s="752" t="s">
        <v>1244</v>
      </c>
      <c r="I291" s="752" t="s">
        <v>60</v>
      </c>
      <c r="J291" s="751">
        <v>22</v>
      </c>
      <c r="K291" s="751">
        <v>2</v>
      </c>
      <c r="L291" s="752" t="s">
        <v>54</v>
      </c>
      <c r="M291" s="752" t="s">
        <v>44</v>
      </c>
      <c r="N291" s="752" t="s">
        <v>41</v>
      </c>
      <c r="O291" s="752" t="s">
        <v>41</v>
      </c>
      <c r="P291" s="752" t="s">
        <v>1091</v>
      </c>
      <c r="Q291" s="753">
        <v>35373</v>
      </c>
      <c r="R291" s="753">
        <v>35373</v>
      </c>
      <c r="S291" s="753">
        <v>36434</v>
      </c>
      <c r="T291" s="753">
        <v>36434</v>
      </c>
      <c r="U291" s="753">
        <v>1124.646</v>
      </c>
      <c r="V291" s="751">
        <v>2019</v>
      </c>
      <c r="W291" s="222" t="s">
        <v>2666</v>
      </c>
      <c r="X291" s="186"/>
      <c r="Y291" s="178" t="str">
        <f t="shared" si="14"/>
        <v/>
      </c>
      <c r="Z291" s="178" t="str">
        <f t="shared" si="15"/>
        <v/>
      </c>
      <c r="AA291" s="44"/>
      <c r="AB291" s="65"/>
    </row>
    <row r="292" spans="1:28" ht="25" hidden="1">
      <c r="A292" s="751">
        <v>2594</v>
      </c>
      <c r="B292" s="752" t="s">
        <v>35</v>
      </c>
      <c r="C292" s="751" t="s">
        <v>2960</v>
      </c>
      <c r="D292" s="752" t="s">
        <v>125</v>
      </c>
      <c r="E292" s="752" t="s">
        <v>126</v>
      </c>
      <c r="F292" s="751">
        <v>13923</v>
      </c>
      <c r="G292" s="752" t="s">
        <v>59</v>
      </c>
      <c r="H292" s="752" t="s">
        <v>1244</v>
      </c>
      <c r="I292" s="752" t="s">
        <v>60</v>
      </c>
      <c r="J292" s="751">
        <v>22</v>
      </c>
      <c r="K292" s="751">
        <v>2</v>
      </c>
      <c r="L292" s="752" t="s">
        <v>54</v>
      </c>
      <c r="M292" s="752" t="s">
        <v>44</v>
      </c>
      <c r="N292" s="752" t="s">
        <v>63</v>
      </c>
      <c r="O292" s="752" t="s">
        <v>63</v>
      </c>
      <c r="P292" s="752" t="s">
        <v>49</v>
      </c>
      <c r="Q292" s="753">
        <v>60927</v>
      </c>
      <c r="R292" s="753">
        <v>60927</v>
      </c>
      <c r="S292" s="753">
        <v>383587</v>
      </c>
      <c r="T292" s="753">
        <v>383587</v>
      </c>
      <c r="U292" s="753">
        <v>15688.353999999999</v>
      </c>
      <c r="V292" s="751">
        <v>2019</v>
      </c>
      <c r="W292" s="222" t="s">
        <v>2666</v>
      </c>
      <c r="X292" s="186"/>
      <c r="Y292" s="178" t="str">
        <f t="shared" si="14"/>
        <v/>
      </c>
      <c r="Z292" s="178" t="str">
        <f t="shared" si="15"/>
        <v/>
      </c>
      <c r="AA292" s="44"/>
      <c r="AB292" s="65"/>
    </row>
    <row r="293" spans="1:28" hidden="1">
      <c r="A293" s="751">
        <v>2595</v>
      </c>
      <c r="B293" s="752" t="s">
        <v>35</v>
      </c>
      <c r="C293" s="751" t="s">
        <v>2960</v>
      </c>
      <c r="D293" s="752" t="s">
        <v>696</v>
      </c>
      <c r="E293" s="752" t="s">
        <v>123</v>
      </c>
      <c r="F293" s="751">
        <v>5914</v>
      </c>
      <c r="G293" s="752" t="s">
        <v>59</v>
      </c>
      <c r="H293" s="752" t="s">
        <v>1244</v>
      </c>
      <c r="I293" s="752" t="s">
        <v>60</v>
      </c>
      <c r="J293" s="751">
        <v>22</v>
      </c>
      <c r="K293" s="751">
        <v>2</v>
      </c>
      <c r="L293" s="752" t="s">
        <v>54</v>
      </c>
      <c r="M293" s="752" t="s">
        <v>37</v>
      </c>
      <c r="N293" s="752" t="s">
        <v>38</v>
      </c>
      <c r="O293" s="752" t="s">
        <v>39</v>
      </c>
      <c r="P293" s="752" t="s">
        <v>1238</v>
      </c>
      <c r="Q293" s="753">
        <v>0</v>
      </c>
      <c r="R293" s="753">
        <v>0</v>
      </c>
      <c r="S293" s="753">
        <v>291881</v>
      </c>
      <c r="T293" s="753">
        <v>291881</v>
      </c>
      <c r="U293" s="753">
        <v>32781</v>
      </c>
      <c r="V293" s="751">
        <v>2019</v>
      </c>
      <c r="W293" s="222"/>
      <c r="X293" s="186"/>
      <c r="Y293" s="178" t="str">
        <f t="shared" si="14"/>
        <v/>
      </c>
      <c r="Z293" s="178" t="str">
        <f t="shared" si="15"/>
        <v/>
      </c>
      <c r="AA293" s="44"/>
      <c r="AB293" s="65"/>
    </row>
    <row r="294" spans="1:28" hidden="1">
      <c r="A294" s="751">
        <v>2596</v>
      </c>
      <c r="B294" s="752" t="s">
        <v>35</v>
      </c>
      <c r="C294" s="751" t="s">
        <v>2960</v>
      </c>
      <c r="D294" s="752" t="s">
        <v>697</v>
      </c>
      <c r="E294" s="752" t="s">
        <v>123</v>
      </c>
      <c r="F294" s="751">
        <v>5914</v>
      </c>
      <c r="G294" s="752" t="s">
        <v>59</v>
      </c>
      <c r="H294" s="752" t="s">
        <v>1244</v>
      </c>
      <c r="I294" s="752" t="s">
        <v>60</v>
      </c>
      <c r="J294" s="751">
        <v>22</v>
      </c>
      <c r="K294" s="751">
        <v>2</v>
      </c>
      <c r="L294" s="752" t="s">
        <v>54</v>
      </c>
      <c r="M294" s="752" t="s">
        <v>37</v>
      </c>
      <c r="N294" s="752" t="s">
        <v>38</v>
      </c>
      <c r="O294" s="752" t="s">
        <v>39</v>
      </c>
      <c r="P294" s="752" t="s">
        <v>1238</v>
      </c>
      <c r="Q294" s="753">
        <v>0</v>
      </c>
      <c r="R294" s="753">
        <v>0</v>
      </c>
      <c r="S294" s="753">
        <v>88389</v>
      </c>
      <c r="T294" s="753">
        <v>88389</v>
      </c>
      <c r="U294" s="753">
        <v>9927</v>
      </c>
      <c r="V294" s="751">
        <v>2019</v>
      </c>
      <c r="W294" s="222"/>
      <c r="X294" s="186"/>
      <c r="Y294" s="178" t="str">
        <f t="shared" si="14"/>
        <v/>
      </c>
      <c r="Z294" s="178" t="str">
        <f t="shared" si="15"/>
        <v/>
      </c>
      <c r="AA294" s="44"/>
      <c r="AB294" s="65"/>
    </row>
    <row r="295" spans="1:28" hidden="1">
      <c r="A295" s="751">
        <v>2597</v>
      </c>
      <c r="B295" s="752" t="s">
        <v>35</v>
      </c>
      <c r="C295" s="751" t="s">
        <v>2960</v>
      </c>
      <c r="D295" s="752" t="s">
        <v>698</v>
      </c>
      <c r="E295" s="752" t="s">
        <v>123</v>
      </c>
      <c r="F295" s="751">
        <v>5914</v>
      </c>
      <c r="G295" s="752" t="s">
        <v>59</v>
      </c>
      <c r="H295" s="752" t="s">
        <v>1244</v>
      </c>
      <c r="I295" s="752" t="s">
        <v>60</v>
      </c>
      <c r="J295" s="751">
        <v>22</v>
      </c>
      <c r="K295" s="751">
        <v>2</v>
      </c>
      <c r="L295" s="752" t="s">
        <v>54</v>
      </c>
      <c r="M295" s="752" t="s">
        <v>37</v>
      </c>
      <c r="N295" s="752" t="s">
        <v>38</v>
      </c>
      <c r="O295" s="752" t="s">
        <v>39</v>
      </c>
      <c r="P295" s="752" t="s">
        <v>1238</v>
      </c>
      <c r="Q295" s="753">
        <v>0</v>
      </c>
      <c r="R295" s="753">
        <v>0</v>
      </c>
      <c r="S295" s="753">
        <v>180904</v>
      </c>
      <c r="T295" s="753">
        <v>180904</v>
      </c>
      <c r="U295" s="753">
        <v>20317</v>
      </c>
      <c r="V295" s="751">
        <v>2019</v>
      </c>
      <c r="W295" s="222"/>
      <c r="X295" s="186"/>
      <c r="Y295" s="178" t="str">
        <f t="shared" si="14"/>
        <v/>
      </c>
      <c r="Z295" s="178" t="str">
        <f t="shared" si="15"/>
        <v/>
      </c>
      <c r="AA295" s="44"/>
      <c r="AB295" s="65"/>
    </row>
    <row r="296" spans="1:28" hidden="1">
      <c r="A296" s="751">
        <v>2598</v>
      </c>
      <c r="B296" s="752" t="s">
        <v>35</v>
      </c>
      <c r="C296" s="751" t="s">
        <v>2960</v>
      </c>
      <c r="D296" s="752" t="s">
        <v>699</v>
      </c>
      <c r="E296" s="752" t="s">
        <v>123</v>
      </c>
      <c r="F296" s="751">
        <v>5914</v>
      </c>
      <c r="G296" s="752" t="s">
        <v>59</v>
      </c>
      <c r="H296" s="752" t="s">
        <v>1244</v>
      </c>
      <c r="I296" s="752" t="s">
        <v>60</v>
      </c>
      <c r="J296" s="751">
        <v>22</v>
      </c>
      <c r="K296" s="751">
        <v>2</v>
      </c>
      <c r="L296" s="752" t="s">
        <v>54</v>
      </c>
      <c r="M296" s="752" t="s">
        <v>37</v>
      </c>
      <c r="N296" s="752" t="s">
        <v>38</v>
      </c>
      <c r="O296" s="752" t="s">
        <v>39</v>
      </c>
      <c r="P296" s="752" t="s">
        <v>1238</v>
      </c>
      <c r="Q296" s="753">
        <v>0</v>
      </c>
      <c r="R296" s="753">
        <v>0</v>
      </c>
      <c r="S296" s="753">
        <v>136098</v>
      </c>
      <c r="T296" s="753">
        <v>136098</v>
      </c>
      <c r="U296" s="753">
        <v>15285</v>
      </c>
      <c r="V296" s="751">
        <v>2019</v>
      </c>
      <c r="W296" s="222"/>
      <c r="X296" s="186"/>
      <c r="Y296" s="178" t="str">
        <f t="shared" si="14"/>
        <v/>
      </c>
      <c r="Z296" s="178" t="str">
        <f t="shared" si="15"/>
        <v/>
      </c>
      <c r="AA296" s="44"/>
      <c r="AB296" s="65"/>
    </row>
    <row r="297" spans="1:28" hidden="1">
      <c r="A297" s="751">
        <v>2599</v>
      </c>
      <c r="B297" s="752" t="s">
        <v>35</v>
      </c>
      <c r="C297" s="751" t="s">
        <v>2960</v>
      </c>
      <c r="D297" s="752" t="s">
        <v>700</v>
      </c>
      <c r="E297" s="752" t="s">
        <v>123</v>
      </c>
      <c r="F297" s="751">
        <v>5914</v>
      </c>
      <c r="G297" s="752" t="s">
        <v>59</v>
      </c>
      <c r="H297" s="752" t="s">
        <v>1244</v>
      </c>
      <c r="I297" s="752" t="s">
        <v>60</v>
      </c>
      <c r="J297" s="751">
        <v>22</v>
      </c>
      <c r="K297" s="751">
        <v>2</v>
      </c>
      <c r="L297" s="752" t="s">
        <v>54</v>
      </c>
      <c r="M297" s="752" t="s">
        <v>37</v>
      </c>
      <c r="N297" s="752" t="s">
        <v>38</v>
      </c>
      <c r="O297" s="752" t="s">
        <v>39</v>
      </c>
      <c r="P297" s="752" t="s">
        <v>1238</v>
      </c>
      <c r="Q297" s="753">
        <v>0</v>
      </c>
      <c r="R297" s="753">
        <v>0</v>
      </c>
      <c r="S297" s="753">
        <v>846265</v>
      </c>
      <c r="T297" s="753">
        <v>846265</v>
      </c>
      <c r="U297" s="753">
        <v>95043</v>
      </c>
      <c r="V297" s="751">
        <v>2019</v>
      </c>
      <c r="W297" s="222"/>
      <c r="X297" s="186"/>
      <c r="Y297" s="178" t="str">
        <f t="shared" si="14"/>
        <v/>
      </c>
      <c r="Z297" s="178" t="str">
        <f t="shared" si="15"/>
        <v/>
      </c>
      <c r="AA297" s="44"/>
      <c r="AB297" s="65"/>
    </row>
    <row r="298" spans="1:28" hidden="1">
      <c r="A298" s="751">
        <v>2600</v>
      </c>
      <c r="B298" s="752" t="s">
        <v>35</v>
      </c>
      <c r="C298" s="751" t="s">
        <v>2960</v>
      </c>
      <c r="D298" s="752" t="s">
        <v>1764</v>
      </c>
      <c r="E298" s="752" t="s">
        <v>123</v>
      </c>
      <c r="F298" s="751">
        <v>5914</v>
      </c>
      <c r="G298" s="752" t="s">
        <v>59</v>
      </c>
      <c r="H298" s="752" t="s">
        <v>1244</v>
      </c>
      <c r="I298" s="752" t="s">
        <v>60</v>
      </c>
      <c r="J298" s="751">
        <v>22</v>
      </c>
      <c r="K298" s="751">
        <v>2</v>
      </c>
      <c r="L298" s="752" t="s">
        <v>54</v>
      </c>
      <c r="M298" s="752" t="s">
        <v>37</v>
      </c>
      <c r="N298" s="752" t="s">
        <v>38</v>
      </c>
      <c r="O298" s="752" t="s">
        <v>39</v>
      </c>
      <c r="P298" s="752" t="s">
        <v>1238</v>
      </c>
      <c r="Q298" s="753">
        <v>0</v>
      </c>
      <c r="R298" s="753">
        <v>0</v>
      </c>
      <c r="S298" s="753">
        <v>1122723</v>
      </c>
      <c r="T298" s="753">
        <v>1122723</v>
      </c>
      <c r="U298" s="753">
        <v>126092</v>
      </c>
      <c r="V298" s="751">
        <v>2019</v>
      </c>
      <c r="W298" s="222"/>
      <c r="X298" s="186"/>
      <c r="Y298" s="178" t="str">
        <f t="shared" si="14"/>
        <v/>
      </c>
      <c r="Z298" s="178" t="str">
        <f t="shared" si="15"/>
        <v/>
      </c>
      <c r="AA298" s="44"/>
      <c r="AB298" s="65"/>
    </row>
    <row r="299" spans="1:28" hidden="1">
      <c r="A299" s="751">
        <v>2601</v>
      </c>
      <c r="B299" s="752" t="s">
        <v>35</v>
      </c>
      <c r="C299" s="751" t="s">
        <v>2960</v>
      </c>
      <c r="D299" s="752" t="s">
        <v>701</v>
      </c>
      <c r="E299" s="752" t="s">
        <v>123</v>
      </c>
      <c r="F299" s="751">
        <v>5914</v>
      </c>
      <c r="G299" s="752" t="s">
        <v>59</v>
      </c>
      <c r="H299" s="752" t="s">
        <v>1244</v>
      </c>
      <c r="I299" s="752" t="s">
        <v>60</v>
      </c>
      <c r="J299" s="751">
        <v>22</v>
      </c>
      <c r="K299" s="751">
        <v>2</v>
      </c>
      <c r="L299" s="752" t="s">
        <v>54</v>
      </c>
      <c r="M299" s="752" t="s">
        <v>37</v>
      </c>
      <c r="N299" s="752" t="s">
        <v>38</v>
      </c>
      <c r="O299" s="752" t="s">
        <v>39</v>
      </c>
      <c r="P299" s="752" t="s">
        <v>1238</v>
      </c>
      <c r="Q299" s="753">
        <v>0</v>
      </c>
      <c r="R299" s="753">
        <v>0</v>
      </c>
      <c r="S299" s="753">
        <v>79033</v>
      </c>
      <c r="T299" s="753">
        <v>79033</v>
      </c>
      <c r="U299" s="753">
        <v>8876</v>
      </c>
      <c r="V299" s="751">
        <v>2019</v>
      </c>
      <c r="W299" s="222"/>
      <c r="X299" s="186"/>
      <c r="Y299" s="178" t="str">
        <f t="shared" si="14"/>
        <v/>
      </c>
      <c r="Z299" s="178" t="str">
        <f t="shared" si="15"/>
        <v/>
      </c>
      <c r="AA299" s="44"/>
      <c r="AB299" s="65"/>
    </row>
    <row r="300" spans="1:28" hidden="1">
      <c r="A300" s="751">
        <v>2604</v>
      </c>
      <c r="B300" s="752" t="s">
        <v>35</v>
      </c>
      <c r="C300" s="751" t="s">
        <v>2960</v>
      </c>
      <c r="D300" s="752" t="s">
        <v>702</v>
      </c>
      <c r="E300" s="752" t="s">
        <v>123</v>
      </c>
      <c r="F300" s="751">
        <v>5914</v>
      </c>
      <c r="G300" s="752" t="s">
        <v>59</v>
      </c>
      <c r="H300" s="752" t="s">
        <v>1244</v>
      </c>
      <c r="I300" s="752" t="s">
        <v>60</v>
      </c>
      <c r="J300" s="751">
        <v>22</v>
      </c>
      <c r="K300" s="751">
        <v>2</v>
      </c>
      <c r="L300" s="752" t="s">
        <v>54</v>
      </c>
      <c r="M300" s="752" t="s">
        <v>37</v>
      </c>
      <c r="N300" s="752" t="s">
        <v>38</v>
      </c>
      <c r="O300" s="752" t="s">
        <v>39</v>
      </c>
      <c r="P300" s="752" t="s">
        <v>1238</v>
      </c>
      <c r="Q300" s="753">
        <v>0</v>
      </c>
      <c r="R300" s="753">
        <v>0</v>
      </c>
      <c r="S300" s="753">
        <v>205246</v>
      </c>
      <c r="T300" s="753">
        <v>205246</v>
      </c>
      <c r="U300" s="753">
        <v>23051</v>
      </c>
      <c r="V300" s="751">
        <v>2019</v>
      </c>
      <c r="W300" s="222"/>
      <c r="X300" s="186"/>
      <c r="Y300" s="178" t="str">
        <f t="shared" si="14"/>
        <v/>
      </c>
      <c r="Z300" s="178" t="str">
        <f t="shared" si="15"/>
        <v/>
      </c>
      <c r="AA300" s="44"/>
      <c r="AB300" s="65"/>
    </row>
    <row r="301" spans="1:28" hidden="1">
      <c r="A301" s="751">
        <v>2605</v>
      </c>
      <c r="B301" s="752" t="s">
        <v>35</v>
      </c>
      <c r="C301" s="751" t="s">
        <v>2960</v>
      </c>
      <c r="D301" s="752" t="s">
        <v>703</v>
      </c>
      <c r="E301" s="752" t="s">
        <v>123</v>
      </c>
      <c r="F301" s="751">
        <v>5914</v>
      </c>
      <c r="G301" s="752" t="s">
        <v>59</v>
      </c>
      <c r="H301" s="752" t="s">
        <v>1244</v>
      </c>
      <c r="I301" s="752" t="s">
        <v>60</v>
      </c>
      <c r="J301" s="751">
        <v>22</v>
      </c>
      <c r="K301" s="751">
        <v>2</v>
      </c>
      <c r="L301" s="752" t="s">
        <v>54</v>
      </c>
      <c r="M301" s="752" t="s">
        <v>37</v>
      </c>
      <c r="N301" s="752" t="s">
        <v>38</v>
      </c>
      <c r="O301" s="752" t="s">
        <v>39</v>
      </c>
      <c r="P301" s="752" t="s">
        <v>1238</v>
      </c>
      <c r="Q301" s="753">
        <v>0</v>
      </c>
      <c r="R301" s="753">
        <v>0</v>
      </c>
      <c r="S301" s="753">
        <v>1501515</v>
      </c>
      <c r="T301" s="753">
        <v>1501515</v>
      </c>
      <c r="U301" s="753">
        <v>168634</v>
      </c>
      <c r="V301" s="751">
        <v>2019</v>
      </c>
      <c r="W301" s="222"/>
      <c r="X301" s="186"/>
      <c r="Y301" s="178" t="str">
        <f t="shared" si="14"/>
        <v/>
      </c>
      <c r="Z301" s="178" t="str">
        <f t="shared" si="15"/>
        <v/>
      </c>
      <c r="AA301" s="44"/>
      <c r="AB301" s="65"/>
    </row>
    <row r="302" spans="1:28" hidden="1">
      <c r="A302" s="751">
        <v>2606</v>
      </c>
      <c r="B302" s="752" t="s">
        <v>35</v>
      </c>
      <c r="C302" s="751" t="s">
        <v>2960</v>
      </c>
      <c r="D302" s="752" t="s">
        <v>704</v>
      </c>
      <c r="E302" s="752" t="s">
        <v>123</v>
      </c>
      <c r="F302" s="751">
        <v>5914</v>
      </c>
      <c r="G302" s="752" t="s">
        <v>59</v>
      </c>
      <c r="H302" s="752" t="s">
        <v>1244</v>
      </c>
      <c r="I302" s="752" t="s">
        <v>60</v>
      </c>
      <c r="J302" s="751">
        <v>22</v>
      </c>
      <c r="K302" s="751">
        <v>2</v>
      </c>
      <c r="L302" s="752" t="s">
        <v>54</v>
      </c>
      <c r="M302" s="752" t="s">
        <v>37</v>
      </c>
      <c r="N302" s="752" t="s">
        <v>38</v>
      </c>
      <c r="O302" s="752" t="s">
        <v>39</v>
      </c>
      <c r="P302" s="752" t="s">
        <v>1238</v>
      </c>
      <c r="Q302" s="753">
        <v>0</v>
      </c>
      <c r="R302" s="753">
        <v>0</v>
      </c>
      <c r="S302" s="753">
        <v>598474</v>
      </c>
      <c r="T302" s="753">
        <v>598474</v>
      </c>
      <c r="U302" s="753">
        <v>67214</v>
      </c>
      <c r="V302" s="751">
        <v>2019</v>
      </c>
      <c r="W302" s="222"/>
      <c r="X302" s="186"/>
      <c r="Y302" s="178" t="str">
        <f t="shared" si="14"/>
        <v/>
      </c>
      <c r="Z302" s="178" t="str">
        <f t="shared" si="15"/>
        <v/>
      </c>
      <c r="AA302" s="44"/>
      <c r="AB302" s="65"/>
    </row>
    <row r="303" spans="1:28" hidden="1">
      <c r="A303" s="751">
        <v>2607</v>
      </c>
      <c r="B303" s="752" t="s">
        <v>35</v>
      </c>
      <c r="C303" s="751" t="s">
        <v>2960</v>
      </c>
      <c r="D303" s="752" t="s">
        <v>705</v>
      </c>
      <c r="E303" s="752" t="s">
        <v>123</v>
      </c>
      <c r="F303" s="751">
        <v>5914</v>
      </c>
      <c r="G303" s="752" t="s">
        <v>59</v>
      </c>
      <c r="H303" s="752" t="s">
        <v>1244</v>
      </c>
      <c r="I303" s="752" t="s">
        <v>60</v>
      </c>
      <c r="J303" s="751">
        <v>22</v>
      </c>
      <c r="K303" s="751">
        <v>2</v>
      </c>
      <c r="L303" s="752" t="s">
        <v>54</v>
      </c>
      <c r="M303" s="752" t="s">
        <v>37</v>
      </c>
      <c r="N303" s="752" t="s">
        <v>38</v>
      </c>
      <c r="O303" s="752" t="s">
        <v>39</v>
      </c>
      <c r="P303" s="752" t="s">
        <v>1238</v>
      </c>
      <c r="Q303" s="753">
        <v>0</v>
      </c>
      <c r="R303" s="753">
        <v>0</v>
      </c>
      <c r="S303" s="753">
        <v>76565</v>
      </c>
      <c r="T303" s="753">
        <v>76565</v>
      </c>
      <c r="U303" s="753">
        <v>8599</v>
      </c>
      <c r="V303" s="751">
        <v>2019</v>
      </c>
      <c r="W303" s="222"/>
      <c r="X303" s="186"/>
      <c r="Y303" s="178" t="str">
        <f t="shared" si="14"/>
        <v/>
      </c>
      <c r="Z303" s="178" t="str">
        <f t="shared" si="15"/>
        <v/>
      </c>
      <c r="AA303" s="44"/>
      <c r="AB303" s="65"/>
    </row>
    <row r="304" spans="1:28" hidden="1">
      <c r="A304" s="751">
        <v>2608</v>
      </c>
      <c r="B304" s="752" t="s">
        <v>35</v>
      </c>
      <c r="C304" s="751" t="s">
        <v>2960</v>
      </c>
      <c r="D304" s="752" t="s">
        <v>706</v>
      </c>
      <c r="E304" s="752" t="s">
        <v>123</v>
      </c>
      <c r="F304" s="751">
        <v>5914</v>
      </c>
      <c r="G304" s="752" t="s">
        <v>59</v>
      </c>
      <c r="H304" s="752" t="s">
        <v>1244</v>
      </c>
      <c r="I304" s="752" t="s">
        <v>60</v>
      </c>
      <c r="J304" s="751">
        <v>22</v>
      </c>
      <c r="K304" s="751">
        <v>2</v>
      </c>
      <c r="L304" s="752" t="s">
        <v>54</v>
      </c>
      <c r="M304" s="752" t="s">
        <v>37</v>
      </c>
      <c r="N304" s="752" t="s">
        <v>38</v>
      </c>
      <c r="O304" s="752" t="s">
        <v>39</v>
      </c>
      <c r="P304" s="752" t="s">
        <v>1238</v>
      </c>
      <c r="Q304" s="753">
        <v>0</v>
      </c>
      <c r="R304" s="753">
        <v>0</v>
      </c>
      <c r="S304" s="753">
        <v>133238</v>
      </c>
      <c r="T304" s="753">
        <v>133238</v>
      </c>
      <c r="U304" s="753">
        <v>14964</v>
      </c>
      <c r="V304" s="751">
        <v>2019</v>
      </c>
      <c r="W304" s="222"/>
      <c r="X304" s="186"/>
      <c r="Y304" s="178" t="str">
        <f t="shared" si="14"/>
        <v/>
      </c>
      <c r="Z304" s="178" t="str">
        <f t="shared" si="15"/>
        <v/>
      </c>
      <c r="AA304" s="44"/>
      <c r="AB304" s="65"/>
    </row>
    <row r="305" spans="1:28" hidden="1">
      <c r="A305" s="751">
        <v>2609</v>
      </c>
      <c r="B305" s="752" t="s">
        <v>35</v>
      </c>
      <c r="C305" s="751" t="s">
        <v>2960</v>
      </c>
      <c r="D305" s="752" t="s">
        <v>707</v>
      </c>
      <c r="E305" s="752" t="s">
        <v>123</v>
      </c>
      <c r="F305" s="751">
        <v>5914</v>
      </c>
      <c r="G305" s="752" t="s">
        <v>59</v>
      </c>
      <c r="H305" s="752" t="s">
        <v>1244</v>
      </c>
      <c r="I305" s="752" t="s">
        <v>60</v>
      </c>
      <c r="J305" s="751">
        <v>22</v>
      </c>
      <c r="K305" s="751">
        <v>2</v>
      </c>
      <c r="L305" s="752" t="s">
        <v>54</v>
      </c>
      <c r="M305" s="752" t="s">
        <v>37</v>
      </c>
      <c r="N305" s="752" t="s">
        <v>38</v>
      </c>
      <c r="O305" s="752" t="s">
        <v>39</v>
      </c>
      <c r="P305" s="752" t="s">
        <v>1238</v>
      </c>
      <c r="Q305" s="753">
        <v>0</v>
      </c>
      <c r="R305" s="753">
        <v>0</v>
      </c>
      <c r="S305" s="753">
        <v>2044218</v>
      </c>
      <c r="T305" s="753">
        <v>2044218</v>
      </c>
      <c r="U305" s="753">
        <v>229584</v>
      </c>
      <c r="V305" s="751">
        <v>2019</v>
      </c>
      <c r="W305" s="222"/>
      <c r="X305" s="186"/>
      <c r="Y305" s="178" t="str">
        <f t="shared" si="14"/>
        <v/>
      </c>
      <c r="Z305" s="178" t="str">
        <f t="shared" si="15"/>
        <v/>
      </c>
      <c r="AA305" s="44"/>
      <c r="AB305" s="65"/>
    </row>
    <row r="306" spans="1:28" hidden="1">
      <c r="A306" s="751">
        <v>2610</v>
      </c>
      <c r="B306" s="752" t="s">
        <v>35</v>
      </c>
      <c r="C306" s="751" t="s">
        <v>2960</v>
      </c>
      <c r="D306" s="752" t="s">
        <v>708</v>
      </c>
      <c r="E306" s="752" t="s">
        <v>123</v>
      </c>
      <c r="F306" s="751">
        <v>5914</v>
      </c>
      <c r="G306" s="752" t="s">
        <v>59</v>
      </c>
      <c r="H306" s="752" t="s">
        <v>1244</v>
      </c>
      <c r="I306" s="752" t="s">
        <v>60</v>
      </c>
      <c r="J306" s="751">
        <v>22</v>
      </c>
      <c r="K306" s="751">
        <v>2</v>
      </c>
      <c r="L306" s="752" t="s">
        <v>54</v>
      </c>
      <c r="M306" s="752" t="s">
        <v>37</v>
      </c>
      <c r="N306" s="752" t="s">
        <v>38</v>
      </c>
      <c r="O306" s="752" t="s">
        <v>39</v>
      </c>
      <c r="P306" s="752" t="s">
        <v>1238</v>
      </c>
      <c r="Q306" s="753">
        <v>0</v>
      </c>
      <c r="R306" s="753">
        <v>0</v>
      </c>
      <c r="S306" s="753">
        <v>464942</v>
      </c>
      <c r="T306" s="753">
        <v>464942</v>
      </c>
      <c r="U306" s="753">
        <v>52217</v>
      </c>
      <c r="V306" s="751">
        <v>2019</v>
      </c>
      <c r="W306" s="222"/>
      <c r="X306" s="186"/>
      <c r="Y306" s="178" t="str">
        <f t="shared" si="14"/>
        <v/>
      </c>
      <c r="Z306" s="178" t="str">
        <f t="shared" si="15"/>
        <v/>
      </c>
      <c r="AA306" s="44"/>
      <c r="AB306" s="65"/>
    </row>
    <row r="307" spans="1:28" hidden="1">
      <c r="A307" s="751">
        <v>2611</v>
      </c>
      <c r="B307" s="752" t="s">
        <v>35</v>
      </c>
      <c r="C307" s="751" t="s">
        <v>2960</v>
      </c>
      <c r="D307" s="752" t="s">
        <v>709</v>
      </c>
      <c r="E307" s="752" t="s">
        <v>123</v>
      </c>
      <c r="F307" s="751">
        <v>5914</v>
      </c>
      <c r="G307" s="752" t="s">
        <v>59</v>
      </c>
      <c r="H307" s="752" t="s">
        <v>1244</v>
      </c>
      <c r="I307" s="752" t="s">
        <v>60</v>
      </c>
      <c r="J307" s="751">
        <v>22</v>
      </c>
      <c r="K307" s="751">
        <v>2</v>
      </c>
      <c r="L307" s="752" t="s">
        <v>54</v>
      </c>
      <c r="M307" s="752" t="s">
        <v>37</v>
      </c>
      <c r="N307" s="752" t="s">
        <v>38</v>
      </c>
      <c r="O307" s="752" t="s">
        <v>39</v>
      </c>
      <c r="P307" s="752" t="s">
        <v>1238</v>
      </c>
      <c r="Q307" s="753">
        <v>0</v>
      </c>
      <c r="R307" s="753">
        <v>0</v>
      </c>
      <c r="S307" s="753">
        <v>930388</v>
      </c>
      <c r="T307" s="753">
        <v>930388</v>
      </c>
      <c r="U307" s="753">
        <v>104491</v>
      </c>
      <c r="V307" s="751">
        <v>2019</v>
      </c>
      <c r="W307" s="222"/>
      <c r="X307" s="186"/>
      <c r="Y307" s="178" t="str">
        <f t="shared" si="14"/>
        <v/>
      </c>
      <c r="Z307" s="178" t="str">
        <f t="shared" si="15"/>
        <v/>
      </c>
      <c r="AA307" s="44"/>
      <c r="AB307" s="65"/>
    </row>
    <row r="308" spans="1:28" hidden="1">
      <c r="A308" s="751">
        <v>2612</v>
      </c>
      <c r="B308" s="752" t="s">
        <v>35</v>
      </c>
      <c r="C308" s="751" t="s">
        <v>2960</v>
      </c>
      <c r="D308" s="752" t="s">
        <v>127</v>
      </c>
      <c r="E308" s="752" t="s">
        <v>123</v>
      </c>
      <c r="F308" s="751">
        <v>5914</v>
      </c>
      <c r="G308" s="752" t="s">
        <v>59</v>
      </c>
      <c r="H308" s="752" t="s">
        <v>1244</v>
      </c>
      <c r="I308" s="752" t="s">
        <v>60</v>
      </c>
      <c r="J308" s="751">
        <v>22</v>
      </c>
      <c r="K308" s="751">
        <v>2</v>
      </c>
      <c r="L308" s="752" t="s">
        <v>54</v>
      </c>
      <c r="M308" s="752" t="s">
        <v>37</v>
      </c>
      <c r="N308" s="752" t="s">
        <v>38</v>
      </c>
      <c r="O308" s="752" t="s">
        <v>39</v>
      </c>
      <c r="P308" s="752" t="s">
        <v>1238</v>
      </c>
      <c r="Q308" s="753">
        <v>0</v>
      </c>
      <c r="R308" s="753">
        <v>0</v>
      </c>
      <c r="S308" s="753">
        <v>2744541</v>
      </c>
      <c r="T308" s="753">
        <v>2744541</v>
      </c>
      <c r="U308" s="753">
        <v>308237</v>
      </c>
      <c r="V308" s="751">
        <v>2019</v>
      </c>
      <c r="W308" s="222"/>
      <c r="X308" s="186"/>
      <c r="Y308" s="178" t="str">
        <f t="shared" si="14"/>
        <v/>
      </c>
      <c r="Z308" s="178" t="str">
        <f t="shared" si="15"/>
        <v/>
      </c>
      <c r="AA308" s="44"/>
      <c r="AB308" s="65"/>
    </row>
    <row r="309" spans="1:28" hidden="1">
      <c r="A309" s="751">
        <v>2613</v>
      </c>
      <c r="B309" s="752" t="s">
        <v>35</v>
      </c>
      <c r="C309" s="751" t="s">
        <v>2960</v>
      </c>
      <c r="D309" s="752" t="s">
        <v>710</v>
      </c>
      <c r="E309" s="752" t="s">
        <v>123</v>
      </c>
      <c r="F309" s="751">
        <v>5914</v>
      </c>
      <c r="G309" s="752" t="s">
        <v>59</v>
      </c>
      <c r="H309" s="752" t="s">
        <v>1244</v>
      </c>
      <c r="I309" s="752" t="s">
        <v>60</v>
      </c>
      <c r="J309" s="751">
        <v>22</v>
      </c>
      <c r="K309" s="751">
        <v>2</v>
      </c>
      <c r="L309" s="752" t="s">
        <v>54</v>
      </c>
      <c r="M309" s="752" t="s">
        <v>37</v>
      </c>
      <c r="N309" s="752" t="s">
        <v>38</v>
      </c>
      <c r="O309" s="752" t="s">
        <v>39</v>
      </c>
      <c r="P309" s="752" t="s">
        <v>1238</v>
      </c>
      <c r="Q309" s="753">
        <v>0</v>
      </c>
      <c r="R309" s="753">
        <v>0</v>
      </c>
      <c r="S309" s="753">
        <v>1099983</v>
      </c>
      <c r="T309" s="753">
        <v>1099983</v>
      </c>
      <c r="U309" s="753">
        <v>123538</v>
      </c>
      <c r="V309" s="751">
        <v>2019</v>
      </c>
      <c r="W309" s="222"/>
      <c r="X309" s="186"/>
      <c r="Y309" s="178" t="str">
        <f t="shared" si="14"/>
        <v/>
      </c>
      <c r="Z309" s="178" t="str">
        <f t="shared" si="15"/>
        <v/>
      </c>
      <c r="AA309" s="44"/>
      <c r="AB309" s="65"/>
    </row>
    <row r="310" spans="1:28" hidden="1">
      <c r="A310" s="751">
        <v>2614</v>
      </c>
      <c r="B310" s="752" t="s">
        <v>35</v>
      </c>
      <c r="C310" s="751" t="s">
        <v>2960</v>
      </c>
      <c r="D310" s="752" t="s">
        <v>711</v>
      </c>
      <c r="E310" s="752" t="s">
        <v>123</v>
      </c>
      <c r="F310" s="751">
        <v>5914</v>
      </c>
      <c r="G310" s="752" t="s">
        <v>59</v>
      </c>
      <c r="H310" s="752" t="s">
        <v>1244</v>
      </c>
      <c r="I310" s="752" t="s">
        <v>60</v>
      </c>
      <c r="J310" s="751">
        <v>22</v>
      </c>
      <c r="K310" s="751">
        <v>2</v>
      </c>
      <c r="L310" s="752" t="s">
        <v>54</v>
      </c>
      <c r="M310" s="752" t="s">
        <v>37</v>
      </c>
      <c r="N310" s="752" t="s">
        <v>38</v>
      </c>
      <c r="O310" s="752" t="s">
        <v>39</v>
      </c>
      <c r="P310" s="752" t="s">
        <v>1238</v>
      </c>
      <c r="Q310" s="753">
        <v>0</v>
      </c>
      <c r="R310" s="753">
        <v>0</v>
      </c>
      <c r="S310" s="753">
        <v>1660889</v>
      </c>
      <c r="T310" s="753">
        <v>1660889</v>
      </c>
      <c r="U310" s="753">
        <v>186533</v>
      </c>
      <c r="V310" s="751">
        <v>2019</v>
      </c>
      <c r="W310" s="222"/>
      <c r="X310" s="186"/>
      <c r="Y310" s="178" t="str">
        <f t="shared" si="14"/>
        <v/>
      </c>
      <c r="Z310" s="178" t="str">
        <f t="shared" si="15"/>
        <v/>
      </c>
      <c r="AA310" s="44"/>
      <c r="AB310" s="65"/>
    </row>
    <row r="311" spans="1:28" hidden="1">
      <c r="A311" s="751">
        <v>2616</v>
      </c>
      <c r="B311" s="752" t="s">
        <v>35</v>
      </c>
      <c r="C311" s="751" t="s">
        <v>2960</v>
      </c>
      <c r="D311" s="752" t="s">
        <v>712</v>
      </c>
      <c r="E311" s="752" t="s">
        <v>123</v>
      </c>
      <c r="F311" s="751">
        <v>5914</v>
      </c>
      <c r="G311" s="752" t="s">
        <v>59</v>
      </c>
      <c r="H311" s="752" t="s">
        <v>1244</v>
      </c>
      <c r="I311" s="752" t="s">
        <v>60</v>
      </c>
      <c r="J311" s="751">
        <v>22</v>
      </c>
      <c r="K311" s="751">
        <v>2</v>
      </c>
      <c r="L311" s="752" t="s">
        <v>54</v>
      </c>
      <c r="M311" s="752" t="s">
        <v>37</v>
      </c>
      <c r="N311" s="752" t="s">
        <v>38</v>
      </c>
      <c r="O311" s="752" t="s">
        <v>39</v>
      </c>
      <c r="P311" s="752" t="s">
        <v>1238</v>
      </c>
      <c r="Q311" s="753">
        <v>0</v>
      </c>
      <c r="R311" s="753">
        <v>0</v>
      </c>
      <c r="S311" s="753">
        <v>251822</v>
      </c>
      <c r="T311" s="753">
        <v>251822</v>
      </c>
      <c r="U311" s="753">
        <v>28282</v>
      </c>
      <c r="V311" s="751">
        <v>2019</v>
      </c>
      <c r="W311" s="222"/>
      <c r="X311" s="186"/>
      <c r="Y311" s="178" t="str">
        <f t="shared" si="14"/>
        <v/>
      </c>
      <c r="Z311" s="178" t="str">
        <f t="shared" si="15"/>
        <v/>
      </c>
      <c r="AA311" s="44"/>
      <c r="AB311" s="65"/>
    </row>
    <row r="312" spans="1:28" hidden="1">
      <c r="A312" s="751">
        <v>2617</v>
      </c>
      <c r="B312" s="752" t="s">
        <v>35</v>
      </c>
      <c r="C312" s="751" t="s">
        <v>2960</v>
      </c>
      <c r="D312" s="752" t="s">
        <v>713</v>
      </c>
      <c r="E312" s="752" t="s">
        <v>123</v>
      </c>
      <c r="F312" s="751">
        <v>5914</v>
      </c>
      <c r="G312" s="752" t="s">
        <v>59</v>
      </c>
      <c r="H312" s="752" t="s">
        <v>1244</v>
      </c>
      <c r="I312" s="752" t="s">
        <v>60</v>
      </c>
      <c r="J312" s="751">
        <v>22</v>
      </c>
      <c r="K312" s="751">
        <v>2</v>
      </c>
      <c r="L312" s="752" t="s">
        <v>54</v>
      </c>
      <c r="M312" s="752" t="s">
        <v>37</v>
      </c>
      <c r="N312" s="752" t="s">
        <v>38</v>
      </c>
      <c r="O312" s="752" t="s">
        <v>39</v>
      </c>
      <c r="P312" s="752" t="s">
        <v>1238</v>
      </c>
      <c r="Q312" s="753">
        <v>0</v>
      </c>
      <c r="R312" s="753">
        <v>0</v>
      </c>
      <c r="S312" s="753">
        <v>272391</v>
      </c>
      <c r="T312" s="753">
        <v>272391</v>
      </c>
      <c r="U312" s="753">
        <v>30592</v>
      </c>
      <c r="V312" s="751">
        <v>2019</v>
      </c>
      <c r="W312" s="222"/>
      <c r="X312" s="186"/>
      <c r="Y312" s="178" t="str">
        <f t="shared" si="14"/>
        <v/>
      </c>
      <c r="Z312" s="178" t="str">
        <f t="shared" si="15"/>
        <v/>
      </c>
      <c r="AA312" s="44"/>
      <c r="AB312" s="65"/>
    </row>
    <row r="313" spans="1:28" hidden="1">
      <c r="A313" s="751">
        <v>2619</v>
      </c>
      <c r="B313" s="752" t="s">
        <v>35</v>
      </c>
      <c r="C313" s="751" t="s">
        <v>2960</v>
      </c>
      <c r="D313" s="752" t="s">
        <v>714</v>
      </c>
      <c r="E313" s="752" t="s">
        <v>123</v>
      </c>
      <c r="F313" s="751">
        <v>5914</v>
      </c>
      <c r="G313" s="752" t="s">
        <v>59</v>
      </c>
      <c r="H313" s="752" t="s">
        <v>1244</v>
      </c>
      <c r="I313" s="752" t="s">
        <v>60</v>
      </c>
      <c r="J313" s="751">
        <v>22</v>
      </c>
      <c r="K313" s="751">
        <v>2</v>
      </c>
      <c r="L313" s="752" t="s">
        <v>54</v>
      </c>
      <c r="M313" s="752" t="s">
        <v>37</v>
      </c>
      <c r="N313" s="752" t="s">
        <v>38</v>
      </c>
      <c r="O313" s="752" t="s">
        <v>39</v>
      </c>
      <c r="P313" s="752" t="s">
        <v>1238</v>
      </c>
      <c r="Q313" s="753">
        <v>0</v>
      </c>
      <c r="R313" s="753">
        <v>0</v>
      </c>
      <c r="S313" s="753">
        <v>1549217</v>
      </c>
      <c r="T313" s="753">
        <v>1549217</v>
      </c>
      <c r="U313" s="753">
        <v>173991</v>
      </c>
      <c r="V313" s="751">
        <v>2019</v>
      </c>
      <c r="W313" s="222"/>
      <c r="X313" s="186"/>
      <c r="Y313" s="178" t="str">
        <f t="shared" si="14"/>
        <v/>
      </c>
      <c r="Z313" s="178" t="str">
        <f t="shared" si="15"/>
        <v/>
      </c>
      <c r="AA313" s="44"/>
      <c r="AB313" s="65"/>
    </row>
    <row r="314" spans="1:28" hidden="1">
      <c r="A314" s="751">
        <v>2621</v>
      </c>
      <c r="B314" s="752" t="s">
        <v>35</v>
      </c>
      <c r="C314" s="751" t="s">
        <v>2960</v>
      </c>
      <c r="D314" s="752" t="s">
        <v>715</v>
      </c>
      <c r="E314" s="752" t="s">
        <v>123</v>
      </c>
      <c r="F314" s="751">
        <v>5914</v>
      </c>
      <c r="G314" s="752" t="s">
        <v>59</v>
      </c>
      <c r="H314" s="752" t="s">
        <v>1244</v>
      </c>
      <c r="I314" s="752" t="s">
        <v>60</v>
      </c>
      <c r="J314" s="751">
        <v>22</v>
      </c>
      <c r="K314" s="751">
        <v>2</v>
      </c>
      <c r="L314" s="752" t="s">
        <v>54</v>
      </c>
      <c r="M314" s="752" t="s">
        <v>37</v>
      </c>
      <c r="N314" s="752" t="s">
        <v>38</v>
      </c>
      <c r="O314" s="752" t="s">
        <v>39</v>
      </c>
      <c r="P314" s="752" t="s">
        <v>1238</v>
      </c>
      <c r="Q314" s="753">
        <v>0</v>
      </c>
      <c r="R314" s="753">
        <v>0</v>
      </c>
      <c r="S314" s="753">
        <v>247398</v>
      </c>
      <c r="T314" s="753">
        <v>247398</v>
      </c>
      <c r="U314" s="753">
        <v>27785</v>
      </c>
      <c r="V314" s="751">
        <v>2019</v>
      </c>
      <c r="W314" s="222"/>
      <c r="X314" s="186"/>
      <c r="Y314" s="178" t="str">
        <f t="shared" si="14"/>
        <v/>
      </c>
      <c r="Z314" s="178" t="str">
        <f t="shared" si="15"/>
        <v/>
      </c>
      <c r="AA314" s="44"/>
      <c r="AB314" s="65"/>
    </row>
    <row r="315" spans="1:28" hidden="1">
      <c r="A315" s="751">
        <v>2623</v>
      </c>
      <c r="B315" s="752" t="s">
        <v>35</v>
      </c>
      <c r="C315" s="751" t="s">
        <v>2960</v>
      </c>
      <c r="D315" s="752" t="s">
        <v>716</v>
      </c>
      <c r="E315" s="752" t="s">
        <v>123</v>
      </c>
      <c r="F315" s="751">
        <v>5914</v>
      </c>
      <c r="G315" s="752" t="s">
        <v>59</v>
      </c>
      <c r="H315" s="752" t="s">
        <v>1244</v>
      </c>
      <c r="I315" s="752" t="s">
        <v>60</v>
      </c>
      <c r="J315" s="751">
        <v>22</v>
      </c>
      <c r="K315" s="751">
        <v>2</v>
      </c>
      <c r="L315" s="752" t="s">
        <v>54</v>
      </c>
      <c r="M315" s="752" t="s">
        <v>37</v>
      </c>
      <c r="N315" s="752" t="s">
        <v>38</v>
      </c>
      <c r="O315" s="752" t="s">
        <v>39</v>
      </c>
      <c r="P315" s="752" t="s">
        <v>1238</v>
      </c>
      <c r="Q315" s="753">
        <v>0</v>
      </c>
      <c r="R315" s="753">
        <v>0</v>
      </c>
      <c r="S315" s="753">
        <v>128290</v>
      </c>
      <c r="T315" s="753">
        <v>128290</v>
      </c>
      <c r="U315" s="753">
        <v>14408</v>
      </c>
      <c r="V315" s="751">
        <v>2019</v>
      </c>
      <c r="W315" s="222"/>
      <c r="X315" s="186"/>
      <c r="Y315" s="178" t="str">
        <f t="shared" si="14"/>
        <v/>
      </c>
      <c r="Z315" s="178" t="str">
        <f t="shared" si="15"/>
        <v/>
      </c>
      <c r="AA315" s="44"/>
      <c r="AB315" s="65"/>
    </row>
    <row r="316" spans="1:28" hidden="1">
      <c r="A316" s="751">
        <v>2624</v>
      </c>
      <c r="B316" s="752" t="s">
        <v>35</v>
      </c>
      <c r="C316" s="751" t="s">
        <v>2960</v>
      </c>
      <c r="D316" s="752" t="s">
        <v>717</v>
      </c>
      <c r="E316" s="752" t="s">
        <v>123</v>
      </c>
      <c r="F316" s="751">
        <v>5914</v>
      </c>
      <c r="G316" s="752" t="s">
        <v>59</v>
      </c>
      <c r="H316" s="752" t="s">
        <v>1244</v>
      </c>
      <c r="I316" s="752" t="s">
        <v>60</v>
      </c>
      <c r="J316" s="751">
        <v>22</v>
      </c>
      <c r="K316" s="751">
        <v>2</v>
      </c>
      <c r="L316" s="752" t="s">
        <v>54</v>
      </c>
      <c r="M316" s="752" t="s">
        <v>37</v>
      </c>
      <c r="N316" s="752" t="s">
        <v>38</v>
      </c>
      <c r="O316" s="752" t="s">
        <v>39</v>
      </c>
      <c r="P316" s="752" t="s">
        <v>1238</v>
      </c>
      <c r="Q316" s="753">
        <v>0</v>
      </c>
      <c r="R316" s="753">
        <v>0</v>
      </c>
      <c r="S316" s="753">
        <v>26828</v>
      </c>
      <c r="T316" s="753">
        <v>26828</v>
      </c>
      <c r="U316" s="753">
        <v>3013</v>
      </c>
      <c r="V316" s="751">
        <v>2019</v>
      </c>
      <c r="W316" s="222"/>
      <c r="X316" s="186"/>
      <c r="Y316" s="178" t="str">
        <f t="shared" si="14"/>
        <v/>
      </c>
      <c r="Z316" s="178" t="str">
        <f t="shared" si="15"/>
        <v/>
      </c>
      <c r="AA316" s="44"/>
      <c r="AB316" s="65"/>
    </row>
    <row r="317" spans="1:28" hidden="1">
      <c r="A317" s="751">
        <v>2625</v>
      </c>
      <c r="B317" s="752" t="s">
        <v>35</v>
      </c>
      <c r="C317" s="751" t="s">
        <v>2960</v>
      </c>
      <c r="D317" s="752" t="s">
        <v>128</v>
      </c>
      <c r="E317" s="752" t="s">
        <v>2455</v>
      </c>
      <c r="F317" s="751">
        <v>12792</v>
      </c>
      <c r="G317" s="752" t="s">
        <v>59</v>
      </c>
      <c r="H317" s="752" t="s">
        <v>1244</v>
      </c>
      <c r="I317" s="752" t="s">
        <v>60</v>
      </c>
      <c r="J317" s="751">
        <v>22</v>
      </c>
      <c r="K317" s="751">
        <v>2</v>
      </c>
      <c r="L317" s="752" t="s">
        <v>54</v>
      </c>
      <c r="M317" s="752" t="s">
        <v>44</v>
      </c>
      <c r="N317" s="752" t="s">
        <v>41</v>
      </c>
      <c r="O317" s="752" t="s">
        <v>41</v>
      </c>
      <c r="P317" s="752" t="s">
        <v>1091</v>
      </c>
      <c r="Q317" s="753">
        <v>3119553</v>
      </c>
      <c r="R317" s="753">
        <v>3119553</v>
      </c>
      <c r="S317" s="753">
        <v>3202894</v>
      </c>
      <c r="T317" s="753">
        <v>3202894</v>
      </c>
      <c r="U317" s="753">
        <v>286744.06</v>
      </c>
      <c r="V317" s="751">
        <v>2019</v>
      </c>
      <c r="W317" s="222" t="s">
        <v>2666</v>
      </c>
      <c r="X317" s="186"/>
      <c r="Y317" s="178" t="str">
        <f t="shared" si="14"/>
        <v/>
      </c>
      <c r="Z317" s="178" t="str">
        <f t="shared" si="15"/>
        <v/>
      </c>
      <c r="AA317" s="44"/>
      <c r="AB317" s="65"/>
    </row>
    <row r="318" spans="1:28" hidden="1">
      <c r="A318" s="751">
        <v>2625</v>
      </c>
      <c r="B318" s="752" t="s">
        <v>35</v>
      </c>
      <c r="C318" s="751" t="s">
        <v>2960</v>
      </c>
      <c r="D318" s="752" t="s">
        <v>128</v>
      </c>
      <c r="E318" s="752" t="s">
        <v>2455</v>
      </c>
      <c r="F318" s="751">
        <v>12792</v>
      </c>
      <c r="G318" s="752" t="s">
        <v>59</v>
      </c>
      <c r="H318" s="752" t="s">
        <v>1244</v>
      </c>
      <c r="I318" s="752" t="s">
        <v>60</v>
      </c>
      <c r="J318" s="751">
        <v>22</v>
      </c>
      <c r="K318" s="751">
        <v>2</v>
      </c>
      <c r="L318" s="752" t="s">
        <v>54</v>
      </c>
      <c r="M318" s="752" t="s">
        <v>44</v>
      </c>
      <c r="N318" s="752" t="s">
        <v>63</v>
      </c>
      <c r="O318" s="752" t="s">
        <v>63</v>
      </c>
      <c r="P318" s="752" t="s">
        <v>49</v>
      </c>
      <c r="Q318" s="753">
        <v>0</v>
      </c>
      <c r="R318" s="753">
        <v>0</v>
      </c>
      <c r="S318" s="753">
        <v>0</v>
      </c>
      <c r="T318" s="753">
        <v>0</v>
      </c>
      <c r="U318" s="753">
        <v>0</v>
      </c>
      <c r="V318" s="751">
        <v>2019</v>
      </c>
      <c r="W318" s="222" t="s">
        <v>2666</v>
      </c>
      <c r="X318" s="186" t="str">
        <f>IF(OR(K318&gt;3,T318=0,NOT(U318&gt;0)),"",T318/U318)</f>
        <v/>
      </c>
      <c r="Y318" s="178" t="str">
        <f t="shared" si="14"/>
        <v/>
      </c>
      <c r="Z318" s="178" t="str">
        <f t="shared" si="15"/>
        <v/>
      </c>
      <c r="AA318" s="44"/>
      <c r="AB318" s="65"/>
    </row>
    <row r="319" spans="1:28" hidden="1">
      <c r="A319" s="751">
        <v>2627</v>
      </c>
      <c r="B319" s="752" t="s">
        <v>35</v>
      </c>
      <c r="C319" s="751" t="s">
        <v>2960</v>
      </c>
      <c r="D319" s="752" t="s">
        <v>718</v>
      </c>
      <c r="E319" s="752" t="s">
        <v>58</v>
      </c>
      <c r="F319" s="751">
        <v>15296</v>
      </c>
      <c r="G319" s="752" t="s">
        <v>59</v>
      </c>
      <c r="H319" s="752" t="s">
        <v>1244</v>
      </c>
      <c r="I319" s="752" t="s">
        <v>60</v>
      </c>
      <c r="J319" s="751">
        <v>22</v>
      </c>
      <c r="K319" s="751">
        <v>1</v>
      </c>
      <c r="L319" s="752" t="s">
        <v>36</v>
      </c>
      <c r="M319" s="752" t="s">
        <v>37</v>
      </c>
      <c r="N319" s="752" t="s">
        <v>38</v>
      </c>
      <c r="O319" s="752" t="s">
        <v>39</v>
      </c>
      <c r="P319" s="752" t="s">
        <v>1238</v>
      </c>
      <c r="Q319" s="753">
        <v>0</v>
      </c>
      <c r="R319" s="753">
        <v>0</v>
      </c>
      <c r="S319" s="753">
        <v>724554</v>
      </c>
      <c r="T319" s="753">
        <v>724554</v>
      </c>
      <c r="U319" s="753">
        <v>81374</v>
      </c>
      <c r="V319" s="751">
        <v>2019</v>
      </c>
      <c r="W319" s="222"/>
      <c r="X319" s="186"/>
      <c r="Y319" s="178" t="str">
        <f t="shared" si="14"/>
        <v/>
      </c>
      <c r="Z319" s="178" t="str">
        <f t="shared" si="15"/>
        <v/>
      </c>
      <c r="AA319" s="44"/>
      <c r="AB319" s="65"/>
    </row>
    <row r="320" spans="1:28" hidden="1">
      <c r="A320" s="751">
        <v>2628</v>
      </c>
      <c r="B320" s="752" t="s">
        <v>35</v>
      </c>
      <c r="C320" s="751" t="s">
        <v>2960</v>
      </c>
      <c r="D320" s="752" t="s">
        <v>544</v>
      </c>
      <c r="E320" s="752" t="s">
        <v>1252</v>
      </c>
      <c r="F320" s="751">
        <v>56142</v>
      </c>
      <c r="G320" s="752" t="s">
        <v>59</v>
      </c>
      <c r="H320" s="752" t="s">
        <v>1244</v>
      </c>
      <c r="I320" s="752" t="s">
        <v>60</v>
      </c>
      <c r="J320" s="751">
        <v>22</v>
      </c>
      <c r="K320" s="751">
        <v>2</v>
      </c>
      <c r="L320" s="752" t="s">
        <v>54</v>
      </c>
      <c r="M320" s="752" t="s">
        <v>52</v>
      </c>
      <c r="N320" s="752" t="s">
        <v>68</v>
      </c>
      <c r="O320" s="752" t="s">
        <v>69</v>
      </c>
      <c r="P320" s="752" t="s">
        <v>49</v>
      </c>
      <c r="Q320" s="753">
        <v>0</v>
      </c>
      <c r="R320" s="753">
        <v>0</v>
      </c>
      <c r="S320" s="753">
        <v>0</v>
      </c>
      <c r="T320" s="753">
        <v>0</v>
      </c>
      <c r="U320" s="753">
        <v>0</v>
      </c>
      <c r="V320" s="751">
        <v>2019</v>
      </c>
      <c r="W320" s="222" t="s">
        <v>2666</v>
      </c>
      <c r="X320" s="186"/>
      <c r="Y320" s="178" t="str">
        <f t="shared" si="14"/>
        <v/>
      </c>
      <c r="Z320" s="178" t="str">
        <f t="shared" si="15"/>
        <v/>
      </c>
      <c r="AA320" s="44"/>
      <c r="AB320" s="65"/>
    </row>
    <row r="321" spans="1:28" hidden="1">
      <c r="A321" s="751">
        <v>2628</v>
      </c>
      <c r="B321" s="752" t="s">
        <v>35</v>
      </c>
      <c r="C321" s="751" t="s">
        <v>2960</v>
      </c>
      <c r="D321" s="752" t="s">
        <v>544</v>
      </c>
      <c r="E321" s="752" t="s">
        <v>1252</v>
      </c>
      <c r="F321" s="751">
        <v>56142</v>
      </c>
      <c r="G321" s="752" t="s">
        <v>59</v>
      </c>
      <c r="H321" s="752" t="s">
        <v>1244</v>
      </c>
      <c r="I321" s="752" t="s">
        <v>60</v>
      </c>
      <c r="J321" s="751">
        <v>22</v>
      </c>
      <c r="K321" s="751">
        <v>2</v>
      </c>
      <c r="L321" s="752" t="s">
        <v>54</v>
      </c>
      <c r="M321" s="752" t="s">
        <v>52</v>
      </c>
      <c r="N321" s="752" t="s">
        <v>78</v>
      </c>
      <c r="O321" s="752" t="s">
        <v>69</v>
      </c>
      <c r="P321" s="752" t="s">
        <v>49</v>
      </c>
      <c r="Q321" s="753">
        <v>0</v>
      </c>
      <c r="R321" s="753">
        <v>0</v>
      </c>
      <c r="S321" s="753">
        <v>0</v>
      </c>
      <c r="T321" s="753">
        <v>0</v>
      </c>
      <c r="U321" s="753">
        <v>0</v>
      </c>
      <c r="V321" s="751">
        <v>2019</v>
      </c>
      <c r="W321" s="222" t="s">
        <v>2666</v>
      </c>
      <c r="X321" s="186" t="str">
        <f>IF(OR(K321&gt;3,T321=0,NOT(U321&gt;0)),"",T321/U321)</f>
        <v/>
      </c>
      <c r="Y321" s="178" t="str">
        <f t="shared" si="14"/>
        <v/>
      </c>
      <c r="Z321" s="178" t="str">
        <f t="shared" si="15"/>
        <v/>
      </c>
      <c r="AA321" s="44"/>
      <c r="AB321" s="65"/>
    </row>
    <row r="322" spans="1:28" hidden="1">
      <c r="A322" s="751">
        <v>2628</v>
      </c>
      <c r="B322" s="752" t="s">
        <v>35</v>
      </c>
      <c r="C322" s="751" t="s">
        <v>2960</v>
      </c>
      <c r="D322" s="752" t="s">
        <v>544</v>
      </c>
      <c r="E322" s="752" t="s">
        <v>1252</v>
      </c>
      <c r="F322" s="751">
        <v>56142</v>
      </c>
      <c r="G322" s="752" t="s">
        <v>59</v>
      </c>
      <c r="H322" s="752" t="s">
        <v>1244</v>
      </c>
      <c r="I322" s="752" t="s">
        <v>60</v>
      </c>
      <c r="J322" s="751">
        <v>22</v>
      </c>
      <c r="K322" s="751">
        <v>2</v>
      </c>
      <c r="L322" s="752" t="s">
        <v>54</v>
      </c>
      <c r="M322" s="752" t="s">
        <v>52</v>
      </c>
      <c r="N322" s="752" t="s">
        <v>41</v>
      </c>
      <c r="O322" s="752" t="s">
        <v>41</v>
      </c>
      <c r="P322" s="752" t="s">
        <v>1091</v>
      </c>
      <c r="Q322" s="753">
        <v>4634</v>
      </c>
      <c r="R322" s="753">
        <v>4634</v>
      </c>
      <c r="S322" s="753">
        <v>4682</v>
      </c>
      <c r="T322" s="753">
        <v>4682</v>
      </c>
      <c r="U322" s="753">
        <v>305</v>
      </c>
      <c r="V322" s="751">
        <v>2019</v>
      </c>
      <c r="W322" s="222" t="s">
        <v>2666</v>
      </c>
      <c r="X322" s="186">
        <f>IF(OR(K322&gt;3,T322=0,NOT(U322&gt;0)),"",T322/U322)</f>
        <v>15.350819672131147</v>
      </c>
      <c r="Y322" s="178" t="str">
        <f t="shared" si="14"/>
        <v/>
      </c>
      <c r="Z322" s="178" t="str">
        <f t="shared" si="15"/>
        <v/>
      </c>
      <c r="AA322" s="44"/>
      <c r="AB322" s="65"/>
    </row>
    <row r="323" spans="1:28" hidden="1">
      <c r="A323" s="751">
        <v>2630</v>
      </c>
      <c r="B323" s="752" t="s">
        <v>35</v>
      </c>
      <c r="C323" s="751" t="s">
        <v>2960</v>
      </c>
      <c r="D323" s="752" t="s">
        <v>719</v>
      </c>
      <c r="E323" s="752" t="s">
        <v>1159</v>
      </c>
      <c r="F323" s="751">
        <v>57280</v>
      </c>
      <c r="G323" s="752" t="s">
        <v>59</v>
      </c>
      <c r="H323" s="752" t="s">
        <v>1244</v>
      </c>
      <c r="I323" s="752" t="s">
        <v>60</v>
      </c>
      <c r="J323" s="751">
        <v>22</v>
      </c>
      <c r="K323" s="751">
        <v>2</v>
      </c>
      <c r="L323" s="752" t="s">
        <v>54</v>
      </c>
      <c r="M323" s="752" t="s">
        <v>37</v>
      </c>
      <c r="N323" s="752" t="s">
        <v>38</v>
      </c>
      <c r="O323" s="752" t="s">
        <v>39</v>
      </c>
      <c r="P323" s="752" t="s">
        <v>1238</v>
      </c>
      <c r="Q323" s="753">
        <v>0</v>
      </c>
      <c r="R323" s="753">
        <v>0</v>
      </c>
      <c r="S323" s="753">
        <v>116143</v>
      </c>
      <c r="T323" s="753">
        <v>116143</v>
      </c>
      <c r="U323" s="753">
        <v>13044</v>
      </c>
      <c r="V323" s="751">
        <v>2019</v>
      </c>
      <c r="W323" s="222"/>
      <c r="X323" s="186">
        <f>IF(OR(K323&gt;3,T323=0,NOT(U323&gt;0)),"",T323/U323)</f>
        <v>8.9039405090463042</v>
      </c>
      <c r="Y323" s="178" t="str">
        <f t="shared" si="14"/>
        <v/>
      </c>
      <c r="Z323" s="178" t="str">
        <f t="shared" si="15"/>
        <v/>
      </c>
      <c r="AA323" s="44"/>
      <c r="AB323" s="65"/>
    </row>
    <row r="324" spans="1:28" hidden="1">
      <c r="A324" s="751">
        <v>2631</v>
      </c>
      <c r="B324" s="752" t="s">
        <v>35</v>
      </c>
      <c r="C324" s="751" t="s">
        <v>2960</v>
      </c>
      <c r="D324" s="752" t="s">
        <v>720</v>
      </c>
      <c r="E324" s="752" t="s">
        <v>1159</v>
      </c>
      <c r="F324" s="751">
        <v>57280</v>
      </c>
      <c r="G324" s="752" t="s">
        <v>59</v>
      </c>
      <c r="H324" s="752" t="s">
        <v>1244</v>
      </c>
      <c r="I324" s="752" t="s">
        <v>60</v>
      </c>
      <c r="J324" s="751">
        <v>22</v>
      </c>
      <c r="K324" s="751">
        <v>2</v>
      </c>
      <c r="L324" s="752" t="s">
        <v>54</v>
      </c>
      <c r="M324" s="752" t="s">
        <v>37</v>
      </c>
      <c r="N324" s="752" t="s">
        <v>38</v>
      </c>
      <c r="O324" s="752" t="s">
        <v>39</v>
      </c>
      <c r="P324" s="752" t="s">
        <v>1238</v>
      </c>
      <c r="Q324" s="753">
        <v>0</v>
      </c>
      <c r="R324" s="753">
        <v>0</v>
      </c>
      <c r="S324" s="753">
        <v>302006</v>
      </c>
      <c r="T324" s="753">
        <v>302006</v>
      </c>
      <c r="U324" s="753">
        <v>33918</v>
      </c>
      <c r="V324" s="751">
        <v>2019</v>
      </c>
      <c r="W324" s="222"/>
      <c r="X324" s="186"/>
      <c r="Y324" s="178" t="str">
        <f t="shared" si="14"/>
        <v/>
      </c>
      <c r="Z324" s="178" t="str">
        <f t="shared" si="15"/>
        <v/>
      </c>
      <c r="AA324" s="44"/>
      <c r="AB324" s="65"/>
    </row>
    <row r="325" spans="1:28" hidden="1">
      <c r="A325" s="751">
        <v>2632</v>
      </c>
      <c r="B325" s="752" t="s">
        <v>35</v>
      </c>
      <c r="C325" s="751" t="s">
        <v>2960</v>
      </c>
      <c r="D325" s="752" t="s">
        <v>573</v>
      </c>
      <c r="E325" s="752" t="s">
        <v>1252</v>
      </c>
      <c r="F325" s="751">
        <v>56142</v>
      </c>
      <c r="G325" s="752" t="s">
        <v>59</v>
      </c>
      <c r="H325" s="752" t="s">
        <v>1244</v>
      </c>
      <c r="I325" s="752" t="s">
        <v>60</v>
      </c>
      <c r="J325" s="751">
        <v>22</v>
      </c>
      <c r="K325" s="751">
        <v>2</v>
      </c>
      <c r="L325" s="752" t="s">
        <v>54</v>
      </c>
      <c r="M325" s="752" t="s">
        <v>52</v>
      </c>
      <c r="N325" s="752" t="s">
        <v>68</v>
      </c>
      <c r="O325" s="752" t="s">
        <v>69</v>
      </c>
      <c r="P325" s="752" t="s">
        <v>49</v>
      </c>
      <c r="Q325" s="753">
        <v>0</v>
      </c>
      <c r="R325" s="753">
        <v>0</v>
      </c>
      <c r="S325" s="753">
        <v>0</v>
      </c>
      <c r="T325" s="753">
        <v>0</v>
      </c>
      <c r="U325" s="753">
        <v>0</v>
      </c>
      <c r="V325" s="751">
        <v>2019</v>
      </c>
      <c r="W325" s="222" t="s">
        <v>2666</v>
      </c>
      <c r="X325" s="186"/>
      <c r="Y325" s="178" t="str">
        <f t="shared" si="14"/>
        <v/>
      </c>
      <c r="Z325" s="178" t="str">
        <f t="shared" si="15"/>
        <v/>
      </c>
      <c r="AA325" s="44"/>
      <c r="AB325" s="65"/>
    </row>
    <row r="326" spans="1:28" hidden="1">
      <c r="A326" s="751">
        <v>2632</v>
      </c>
      <c r="B326" s="752" t="s">
        <v>35</v>
      </c>
      <c r="C326" s="751" t="s">
        <v>2960</v>
      </c>
      <c r="D326" s="752" t="s">
        <v>573</v>
      </c>
      <c r="E326" s="752" t="s">
        <v>1252</v>
      </c>
      <c r="F326" s="751">
        <v>56142</v>
      </c>
      <c r="G326" s="752" t="s">
        <v>59</v>
      </c>
      <c r="H326" s="752" t="s">
        <v>1244</v>
      </c>
      <c r="I326" s="752" t="s">
        <v>60</v>
      </c>
      <c r="J326" s="751">
        <v>22</v>
      </c>
      <c r="K326" s="751">
        <v>2</v>
      </c>
      <c r="L326" s="752" t="s">
        <v>54</v>
      </c>
      <c r="M326" s="752" t="s">
        <v>52</v>
      </c>
      <c r="N326" s="752" t="s">
        <v>78</v>
      </c>
      <c r="O326" s="752" t="s">
        <v>69</v>
      </c>
      <c r="P326" s="752" t="s">
        <v>49</v>
      </c>
      <c r="Q326" s="753">
        <v>0</v>
      </c>
      <c r="R326" s="753">
        <v>0</v>
      </c>
      <c r="S326" s="753">
        <v>0</v>
      </c>
      <c r="T326" s="753">
        <v>0</v>
      </c>
      <c r="U326" s="753">
        <v>0</v>
      </c>
      <c r="V326" s="751">
        <v>2019</v>
      </c>
      <c r="W326" s="222" t="s">
        <v>2666</v>
      </c>
      <c r="X326" s="186"/>
      <c r="Y326" s="178" t="str">
        <f t="shared" si="14"/>
        <v/>
      </c>
      <c r="Z326" s="178" t="str">
        <f t="shared" si="15"/>
        <v/>
      </c>
      <c r="AA326" s="44"/>
      <c r="AB326" s="65"/>
    </row>
    <row r="327" spans="1:28" hidden="1">
      <c r="A327" s="751">
        <v>2632</v>
      </c>
      <c r="B327" s="752" t="s">
        <v>35</v>
      </c>
      <c r="C327" s="751" t="s">
        <v>2960</v>
      </c>
      <c r="D327" s="752" t="s">
        <v>573</v>
      </c>
      <c r="E327" s="752" t="s">
        <v>1252</v>
      </c>
      <c r="F327" s="751">
        <v>56142</v>
      </c>
      <c r="G327" s="752" t="s">
        <v>59</v>
      </c>
      <c r="H327" s="752" t="s">
        <v>1244</v>
      </c>
      <c r="I327" s="752" t="s">
        <v>60</v>
      </c>
      <c r="J327" s="751">
        <v>22</v>
      </c>
      <c r="K327" s="751">
        <v>2</v>
      </c>
      <c r="L327" s="752" t="s">
        <v>54</v>
      </c>
      <c r="M327" s="752" t="s">
        <v>52</v>
      </c>
      <c r="N327" s="752" t="s">
        <v>41</v>
      </c>
      <c r="O327" s="752" t="s">
        <v>41</v>
      </c>
      <c r="P327" s="752" t="s">
        <v>1091</v>
      </c>
      <c r="Q327" s="753">
        <v>17668</v>
      </c>
      <c r="R327" s="753">
        <v>17668</v>
      </c>
      <c r="S327" s="753">
        <v>17844</v>
      </c>
      <c r="T327" s="753">
        <v>17844</v>
      </c>
      <c r="U327" s="753">
        <v>1117</v>
      </c>
      <c r="V327" s="751">
        <v>2019</v>
      </c>
      <c r="W327" s="222" t="s">
        <v>2666</v>
      </c>
      <c r="X327" s="186"/>
      <c r="Y327" s="178" t="str">
        <f t="shared" ref="Y327:Y390" si="16">IF(AND($M327=$Y$2,$N327=$Y$3,NOT($Q327=$R327),NOT($U327=0)),IF($K327=5,$S327/($U327+(8/5)*$U327),IF($K327=7,$S327/($U327+(29/25)*$U327),"")),"")</f>
        <v/>
      </c>
      <c r="Z327" s="178" t="str">
        <f t="shared" ref="Z327:Z390" si="17">IF(AND($M327=$Y$2,$N327=$Y$4,NOT($Q327=$R327),NOT($U327=0)),IF($K327=5,$S327/($U327+(8/5)*$U327),IF($K327=7,$S327/($U327+(29/25)*$U327),"")),"")</f>
        <v/>
      </c>
      <c r="AA327" s="44"/>
      <c r="AB327" s="65"/>
    </row>
    <row r="328" spans="1:28" hidden="1">
      <c r="A328" s="751">
        <v>2634</v>
      </c>
      <c r="B328" s="752" t="s">
        <v>35</v>
      </c>
      <c r="C328" s="751" t="s">
        <v>2960</v>
      </c>
      <c r="D328" s="752" t="s">
        <v>721</v>
      </c>
      <c r="E328" s="752" t="s">
        <v>1159</v>
      </c>
      <c r="F328" s="751">
        <v>57280</v>
      </c>
      <c r="G328" s="752" t="s">
        <v>59</v>
      </c>
      <c r="H328" s="752" t="s">
        <v>1244</v>
      </c>
      <c r="I328" s="752" t="s">
        <v>60</v>
      </c>
      <c r="J328" s="751">
        <v>22</v>
      </c>
      <c r="K328" s="751">
        <v>2</v>
      </c>
      <c r="L328" s="752" t="s">
        <v>54</v>
      </c>
      <c r="M328" s="752" t="s">
        <v>37</v>
      </c>
      <c r="N328" s="752" t="s">
        <v>38</v>
      </c>
      <c r="O328" s="752" t="s">
        <v>39</v>
      </c>
      <c r="P328" s="752" t="s">
        <v>1238</v>
      </c>
      <c r="Q328" s="753">
        <v>0</v>
      </c>
      <c r="R328" s="753">
        <v>0</v>
      </c>
      <c r="S328" s="753">
        <v>106413</v>
      </c>
      <c r="T328" s="753">
        <v>106413</v>
      </c>
      <c r="U328" s="753">
        <v>11951</v>
      </c>
      <c r="V328" s="751">
        <v>2019</v>
      </c>
      <c r="W328" s="222"/>
      <c r="X328" s="186">
        <f>IF(OR(K328&gt;3,T328=0,NOT(U328&gt;0)),"",T328/U328)</f>
        <v>8.9041084428081341</v>
      </c>
      <c r="Y328" s="178" t="str">
        <f t="shared" si="16"/>
        <v/>
      </c>
      <c r="Z328" s="178" t="str">
        <f t="shared" si="17"/>
        <v/>
      </c>
      <c r="AA328" s="44"/>
      <c r="AB328" s="65"/>
    </row>
    <row r="329" spans="1:28" hidden="1">
      <c r="A329" s="751">
        <v>2638</v>
      </c>
      <c r="B329" s="752" t="s">
        <v>35</v>
      </c>
      <c r="C329" s="751" t="s">
        <v>2960</v>
      </c>
      <c r="D329" s="752" t="s">
        <v>722</v>
      </c>
      <c r="E329" s="752" t="s">
        <v>723</v>
      </c>
      <c r="F329" s="751">
        <v>16183</v>
      </c>
      <c r="G329" s="752" t="s">
        <v>59</v>
      </c>
      <c r="H329" s="752" t="s">
        <v>1244</v>
      </c>
      <c r="I329" s="752" t="s">
        <v>60</v>
      </c>
      <c r="J329" s="751">
        <v>22</v>
      </c>
      <c r="K329" s="751">
        <v>1</v>
      </c>
      <c r="L329" s="752" t="s">
        <v>36</v>
      </c>
      <c r="M329" s="752" t="s">
        <v>37</v>
      </c>
      <c r="N329" s="752" t="s">
        <v>38</v>
      </c>
      <c r="O329" s="752" t="s">
        <v>39</v>
      </c>
      <c r="P329" s="752" t="s">
        <v>1238</v>
      </c>
      <c r="Q329" s="753">
        <v>0</v>
      </c>
      <c r="R329" s="753">
        <v>0</v>
      </c>
      <c r="S329" s="753">
        <v>70885</v>
      </c>
      <c r="T329" s="753">
        <v>70885</v>
      </c>
      <c r="U329" s="753">
        <v>7961</v>
      </c>
      <c r="V329" s="751">
        <v>2019</v>
      </c>
      <c r="W329" s="222"/>
      <c r="X329" s="186"/>
      <c r="Y329" s="178" t="str">
        <f t="shared" si="16"/>
        <v/>
      </c>
      <c r="Z329" s="178" t="str">
        <f t="shared" si="17"/>
        <v/>
      </c>
      <c r="AA329" s="44"/>
      <c r="AB329" s="65"/>
    </row>
    <row r="330" spans="1:28" hidden="1">
      <c r="A330" s="751">
        <v>2639</v>
      </c>
      <c r="B330" s="752" t="s">
        <v>35</v>
      </c>
      <c r="C330" s="751" t="s">
        <v>2960</v>
      </c>
      <c r="D330" s="752" t="s">
        <v>724</v>
      </c>
      <c r="E330" s="752" t="s">
        <v>723</v>
      </c>
      <c r="F330" s="751">
        <v>16183</v>
      </c>
      <c r="G330" s="752" t="s">
        <v>59</v>
      </c>
      <c r="H330" s="752" t="s">
        <v>1244</v>
      </c>
      <c r="I330" s="752" t="s">
        <v>60</v>
      </c>
      <c r="J330" s="751">
        <v>22</v>
      </c>
      <c r="K330" s="751">
        <v>1</v>
      </c>
      <c r="L330" s="752" t="s">
        <v>36</v>
      </c>
      <c r="M330" s="752" t="s">
        <v>37</v>
      </c>
      <c r="N330" s="752" t="s">
        <v>38</v>
      </c>
      <c r="O330" s="752" t="s">
        <v>39</v>
      </c>
      <c r="P330" s="752" t="s">
        <v>1238</v>
      </c>
      <c r="Q330" s="753">
        <v>0</v>
      </c>
      <c r="R330" s="753">
        <v>0</v>
      </c>
      <c r="S330" s="753">
        <v>161110</v>
      </c>
      <c r="T330" s="753">
        <v>161110</v>
      </c>
      <c r="U330" s="753">
        <v>18094</v>
      </c>
      <c r="V330" s="751">
        <v>2019</v>
      </c>
      <c r="W330" s="222"/>
      <c r="X330" s="186"/>
      <c r="Y330" s="178" t="str">
        <f t="shared" si="16"/>
        <v/>
      </c>
      <c r="Z330" s="178" t="str">
        <f t="shared" si="17"/>
        <v/>
      </c>
      <c r="AA330" s="44"/>
      <c r="AB330" s="65"/>
    </row>
    <row r="331" spans="1:28" hidden="1">
      <c r="A331" s="751">
        <v>2641</v>
      </c>
      <c r="B331" s="752" t="s">
        <v>35</v>
      </c>
      <c r="C331" s="751" t="s">
        <v>2960</v>
      </c>
      <c r="D331" s="752" t="s">
        <v>1253</v>
      </c>
      <c r="E331" s="752" t="s">
        <v>723</v>
      </c>
      <c r="F331" s="751">
        <v>16183</v>
      </c>
      <c r="G331" s="752" t="s">
        <v>59</v>
      </c>
      <c r="H331" s="752" t="s">
        <v>1244</v>
      </c>
      <c r="I331" s="752" t="s">
        <v>60</v>
      </c>
      <c r="J331" s="751">
        <v>22</v>
      </c>
      <c r="K331" s="751">
        <v>1</v>
      </c>
      <c r="L331" s="752" t="s">
        <v>36</v>
      </c>
      <c r="M331" s="752" t="s">
        <v>37</v>
      </c>
      <c r="N331" s="752" t="s">
        <v>38</v>
      </c>
      <c r="O331" s="752" t="s">
        <v>39</v>
      </c>
      <c r="P331" s="752" t="s">
        <v>1238</v>
      </c>
      <c r="Q331" s="753">
        <v>0</v>
      </c>
      <c r="R331" s="753">
        <v>0</v>
      </c>
      <c r="S331" s="753">
        <v>3901</v>
      </c>
      <c r="T331" s="753">
        <v>3901</v>
      </c>
      <c r="U331" s="753">
        <v>438</v>
      </c>
      <c r="V331" s="751">
        <v>2019</v>
      </c>
      <c r="W331" s="222"/>
      <c r="X331" s="186"/>
      <c r="Y331" s="178" t="str">
        <f t="shared" si="16"/>
        <v/>
      </c>
      <c r="Z331" s="178" t="str">
        <f t="shared" si="17"/>
        <v/>
      </c>
      <c r="AA331" s="44"/>
      <c r="AB331" s="65"/>
    </row>
    <row r="332" spans="1:28" hidden="1">
      <c r="A332" s="751">
        <v>2678</v>
      </c>
      <c r="B332" s="752" t="s">
        <v>35</v>
      </c>
      <c r="C332" s="751" t="s">
        <v>2960</v>
      </c>
      <c r="D332" s="752" t="s">
        <v>1654</v>
      </c>
      <c r="E332" s="752" t="s">
        <v>1655</v>
      </c>
      <c r="F332" s="751">
        <v>6775</v>
      </c>
      <c r="G332" s="752" t="s">
        <v>59</v>
      </c>
      <c r="H332" s="752" t="s">
        <v>1244</v>
      </c>
      <c r="I332" s="752" t="s">
        <v>60</v>
      </c>
      <c r="J332" s="751">
        <v>22</v>
      </c>
      <c r="K332" s="751">
        <v>1</v>
      </c>
      <c r="L332" s="752" t="s">
        <v>36</v>
      </c>
      <c r="M332" s="752" t="s">
        <v>53</v>
      </c>
      <c r="N332" s="752" t="s">
        <v>48</v>
      </c>
      <c r="O332" s="752" t="s">
        <v>48</v>
      </c>
      <c r="P332" s="752" t="s">
        <v>49</v>
      </c>
      <c r="Q332" s="753">
        <v>134</v>
      </c>
      <c r="R332" s="753">
        <v>134</v>
      </c>
      <c r="S332" s="753">
        <v>750</v>
      </c>
      <c r="T332" s="753">
        <v>750</v>
      </c>
      <c r="U332" s="753">
        <v>65</v>
      </c>
      <c r="V332" s="751">
        <v>2019</v>
      </c>
      <c r="W332" s="222"/>
      <c r="X332" s="186"/>
      <c r="Y332" s="178" t="str">
        <f t="shared" si="16"/>
        <v/>
      </c>
      <c r="Z332" s="178" t="str">
        <f t="shared" si="17"/>
        <v/>
      </c>
      <c r="AA332" s="44"/>
      <c r="AB332" s="65"/>
    </row>
    <row r="333" spans="1:28" hidden="1">
      <c r="A333" s="751">
        <v>2679</v>
      </c>
      <c r="B333" s="752" t="s">
        <v>35</v>
      </c>
      <c r="C333" s="751" t="s">
        <v>2960</v>
      </c>
      <c r="D333" s="752" t="s">
        <v>1656</v>
      </c>
      <c r="E333" s="752" t="s">
        <v>1655</v>
      </c>
      <c r="F333" s="751">
        <v>6775</v>
      </c>
      <c r="G333" s="752" t="s">
        <v>59</v>
      </c>
      <c r="H333" s="752" t="s">
        <v>1244</v>
      </c>
      <c r="I333" s="752" t="s">
        <v>60</v>
      </c>
      <c r="J333" s="751">
        <v>22</v>
      </c>
      <c r="K333" s="751">
        <v>1</v>
      </c>
      <c r="L333" s="752" t="s">
        <v>36</v>
      </c>
      <c r="M333" s="752" t="s">
        <v>52</v>
      </c>
      <c r="N333" s="752" t="s">
        <v>48</v>
      </c>
      <c r="O333" s="752" t="s">
        <v>48</v>
      </c>
      <c r="P333" s="752" t="s">
        <v>49</v>
      </c>
      <c r="Q333" s="753">
        <v>0</v>
      </c>
      <c r="R333" s="753">
        <v>0</v>
      </c>
      <c r="S333" s="753">
        <v>0</v>
      </c>
      <c r="T333" s="753">
        <v>0</v>
      </c>
      <c r="U333" s="753">
        <v>0</v>
      </c>
      <c r="V333" s="751">
        <v>2019</v>
      </c>
      <c r="W333" s="222" t="s">
        <v>2666</v>
      </c>
      <c r="X333" s="186" t="str">
        <f>IF(OR(K333&gt;3,T333=0,NOT(U333&gt;0)),"",T333/U333)</f>
        <v/>
      </c>
      <c r="Y333" s="178" t="str">
        <f t="shared" si="16"/>
        <v/>
      </c>
      <c r="Z333" s="178" t="str">
        <f t="shared" si="17"/>
        <v/>
      </c>
      <c r="AA333" s="44"/>
      <c r="AB333" s="65"/>
    </row>
    <row r="334" spans="1:28" hidden="1">
      <c r="A334" s="751">
        <v>2679</v>
      </c>
      <c r="B334" s="752" t="s">
        <v>35</v>
      </c>
      <c r="C334" s="751" t="s">
        <v>2960</v>
      </c>
      <c r="D334" s="752" t="s">
        <v>1656</v>
      </c>
      <c r="E334" s="752" t="s">
        <v>1655</v>
      </c>
      <c r="F334" s="751">
        <v>6775</v>
      </c>
      <c r="G334" s="752" t="s">
        <v>59</v>
      </c>
      <c r="H334" s="752" t="s">
        <v>1244</v>
      </c>
      <c r="I334" s="752" t="s">
        <v>60</v>
      </c>
      <c r="J334" s="751">
        <v>22</v>
      </c>
      <c r="K334" s="751">
        <v>1</v>
      </c>
      <c r="L334" s="752" t="s">
        <v>36</v>
      </c>
      <c r="M334" s="752" t="s">
        <v>52</v>
      </c>
      <c r="N334" s="752" t="s">
        <v>78</v>
      </c>
      <c r="O334" s="752" t="s">
        <v>69</v>
      </c>
      <c r="P334" s="752" t="s">
        <v>49</v>
      </c>
      <c r="Q334" s="753">
        <v>1137</v>
      </c>
      <c r="R334" s="753">
        <v>1137</v>
      </c>
      <c r="S334" s="753">
        <v>6447</v>
      </c>
      <c r="T334" s="753">
        <v>6447</v>
      </c>
      <c r="U334" s="753">
        <v>635.88400000000001</v>
      </c>
      <c r="V334" s="751">
        <v>2019</v>
      </c>
      <c r="W334" s="222" t="s">
        <v>2666</v>
      </c>
      <c r="X334" s="186">
        <f>IF(OR(K334&gt;3,T334=0,NOT(U334&gt;0)),"",T334/U334)</f>
        <v>10.138641639041083</v>
      </c>
      <c r="Y334" s="178" t="str">
        <f t="shared" si="16"/>
        <v/>
      </c>
      <c r="Z334" s="178" t="str">
        <f t="shared" si="17"/>
        <v/>
      </c>
      <c r="AA334" s="44"/>
      <c r="AB334" s="65"/>
    </row>
    <row r="335" spans="1:28" hidden="1">
      <c r="A335" s="751">
        <v>2679</v>
      </c>
      <c r="B335" s="752" t="s">
        <v>35</v>
      </c>
      <c r="C335" s="751" t="s">
        <v>2960</v>
      </c>
      <c r="D335" s="752" t="s">
        <v>1656</v>
      </c>
      <c r="E335" s="752" t="s">
        <v>1655</v>
      </c>
      <c r="F335" s="751">
        <v>6775</v>
      </c>
      <c r="G335" s="752" t="s">
        <v>59</v>
      </c>
      <c r="H335" s="752" t="s">
        <v>1244</v>
      </c>
      <c r="I335" s="752" t="s">
        <v>60</v>
      </c>
      <c r="J335" s="751">
        <v>22</v>
      </c>
      <c r="K335" s="751">
        <v>1</v>
      </c>
      <c r="L335" s="752" t="s">
        <v>36</v>
      </c>
      <c r="M335" s="752" t="s">
        <v>52</v>
      </c>
      <c r="N335" s="752" t="s">
        <v>41</v>
      </c>
      <c r="O335" s="752" t="s">
        <v>41</v>
      </c>
      <c r="P335" s="752" t="s">
        <v>1091</v>
      </c>
      <c r="Q335" s="753">
        <v>129801</v>
      </c>
      <c r="R335" s="753">
        <v>129801</v>
      </c>
      <c r="S335" s="753">
        <v>133694</v>
      </c>
      <c r="T335" s="753">
        <v>133694</v>
      </c>
      <c r="U335" s="753">
        <v>13187.116</v>
      </c>
      <c r="V335" s="751">
        <v>2019</v>
      </c>
      <c r="W335" s="222" t="s">
        <v>2666</v>
      </c>
      <c r="X335" s="186">
        <f>IF(OR(K335&gt;3,T335=0,NOT(U335&gt;0)),"",T335/U335)</f>
        <v>10.138228859137964</v>
      </c>
      <c r="Y335" s="178" t="str">
        <f t="shared" si="16"/>
        <v/>
      </c>
      <c r="Z335" s="178" t="str">
        <f t="shared" si="17"/>
        <v/>
      </c>
      <c r="AA335" s="44"/>
      <c r="AB335" s="65"/>
    </row>
    <row r="336" spans="1:28" hidden="1">
      <c r="A336" s="751">
        <v>2681</v>
      </c>
      <c r="B336" s="752" t="s">
        <v>35</v>
      </c>
      <c r="C336" s="751" t="s">
        <v>2960</v>
      </c>
      <c r="D336" s="752" t="s">
        <v>725</v>
      </c>
      <c r="E336" s="752" t="s">
        <v>1657</v>
      </c>
      <c r="F336" s="751">
        <v>7630</v>
      </c>
      <c r="G336" s="752" t="s">
        <v>59</v>
      </c>
      <c r="H336" s="752" t="s">
        <v>1244</v>
      </c>
      <c r="I336" s="752" t="s">
        <v>60</v>
      </c>
      <c r="J336" s="751">
        <v>22</v>
      </c>
      <c r="K336" s="751">
        <v>1</v>
      </c>
      <c r="L336" s="752" t="s">
        <v>36</v>
      </c>
      <c r="M336" s="752" t="s">
        <v>53</v>
      </c>
      <c r="N336" s="752" t="s">
        <v>48</v>
      </c>
      <c r="O336" s="752" t="s">
        <v>48</v>
      </c>
      <c r="P336" s="752" t="s">
        <v>49</v>
      </c>
      <c r="Q336" s="753">
        <v>72</v>
      </c>
      <c r="R336" s="753">
        <v>72</v>
      </c>
      <c r="S336" s="753">
        <v>446</v>
      </c>
      <c r="T336" s="753">
        <v>446</v>
      </c>
      <c r="U336" s="753">
        <v>29</v>
      </c>
      <c r="V336" s="751">
        <v>2019</v>
      </c>
      <c r="W336" s="222"/>
      <c r="X336" s="186">
        <f>IF(OR(K336&gt;3,T336=0,NOT(U336&gt;0)),"",T336/U336)</f>
        <v>15.379310344827585</v>
      </c>
      <c r="Y336" s="178" t="str">
        <f t="shared" si="16"/>
        <v/>
      </c>
      <c r="Z336" s="178" t="str">
        <f t="shared" si="17"/>
        <v/>
      </c>
      <c r="AA336" s="44"/>
      <c r="AB336" s="65"/>
    </row>
    <row r="337" spans="1:28" ht="25" hidden="1">
      <c r="A337" s="751">
        <v>2682</v>
      </c>
      <c r="B337" s="752" t="s">
        <v>35</v>
      </c>
      <c r="C337" s="751" t="s">
        <v>2960</v>
      </c>
      <c r="D337" s="752" t="s">
        <v>130</v>
      </c>
      <c r="E337" s="752" t="s">
        <v>726</v>
      </c>
      <c r="F337" s="751">
        <v>9645</v>
      </c>
      <c r="G337" s="752" t="s">
        <v>59</v>
      </c>
      <c r="H337" s="752" t="s">
        <v>1244</v>
      </c>
      <c r="I337" s="752" t="s">
        <v>60</v>
      </c>
      <c r="J337" s="751">
        <v>22</v>
      </c>
      <c r="K337" s="751">
        <v>1</v>
      </c>
      <c r="L337" s="752" t="s">
        <v>36</v>
      </c>
      <c r="M337" s="752" t="s">
        <v>52</v>
      </c>
      <c r="N337" s="752" t="s">
        <v>45</v>
      </c>
      <c r="O337" s="752" t="s">
        <v>46</v>
      </c>
      <c r="P337" s="752" t="s">
        <v>47</v>
      </c>
      <c r="Q337" s="753">
        <v>0</v>
      </c>
      <c r="R337" s="753">
        <v>0</v>
      </c>
      <c r="S337" s="753">
        <v>0</v>
      </c>
      <c r="T337" s="753">
        <v>0</v>
      </c>
      <c r="U337" s="753">
        <v>0</v>
      </c>
      <c r="V337" s="751">
        <v>2019</v>
      </c>
      <c r="W337" s="222" t="s">
        <v>2666</v>
      </c>
      <c r="X337" s="186" t="str">
        <f>IF(OR(K337&gt;3,T337=0,NOT(U337&gt;0)),"",T337/U337)</f>
        <v/>
      </c>
      <c r="Y337" s="178" t="str">
        <f t="shared" si="16"/>
        <v/>
      </c>
      <c r="Z337" s="178" t="str">
        <f t="shared" si="17"/>
        <v/>
      </c>
      <c r="AA337" s="44"/>
      <c r="AB337" s="65"/>
    </row>
    <row r="338" spans="1:28" hidden="1">
      <c r="A338" s="751">
        <v>2682</v>
      </c>
      <c r="B338" s="752" t="s">
        <v>35</v>
      </c>
      <c r="C338" s="751" t="s">
        <v>2960</v>
      </c>
      <c r="D338" s="752" t="s">
        <v>130</v>
      </c>
      <c r="E338" s="752" t="s">
        <v>726</v>
      </c>
      <c r="F338" s="751">
        <v>9645</v>
      </c>
      <c r="G338" s="752" t="s">
        <v>59</v>
      </c>
      <c r="H338" s="752" t="s">
        <v>1244</v>
      </c>
      <c r="I338" s="752" t="s">
        <v>60</v>
      </c>
      <c r="J338" s="751">
        <v>22</v>
      </c>
      <c r="K338" s="751">
        <v>1</v>
      </c>
      <c r="L338" s="752" t="s">
        <v>36</v>
      </c>
      <c r="M338" s="752" t="s">
        <v>52</v>
      </c>
      <c r="N338" s="752" t="s">
        <v>41</v>
      </c>
      <c r="O338" s="752" t="s">
        <v>41</v>
      </c>
      <c r="P338" s="752" t="s">
        <v>1091</v>
      </c>
      <c r="Q338" s="753">
        <v>1243770</v>
      </c>
      <c r="R338" s="753">
        <v>1243770</v>
      </c>
      <c r="S338" s="753">
        <v>1282327</v>
      </c>
      <c r="T338" s="753">
        <v>1282327</v>
      </c>
      <c r="U338" s="753">
        <v>129713</v>
      </c>
      <c r="V338" s="751">
        <v>2019</v>
      </c>
      <c r="W338" s="222" t="s">
        <v>2666</v>
      </c>
      <c r="X338" s="186"/>
      <c r="Y338" s="178" t="str">
        <f t="shared" si="16"/>
        <v/>
      </c>
      <c r="Z338" s="178" t="str">
        <f t="shared" si="17"/>
        <v/>
      </c>
      <c r="AA338" s="44"/>
      <c r="AB338" s="65"/>
    </row>
    <row r="339" spans="1:28" hidden="1">
      <c r="A339" s="751">
        <v>2682</v>
      </c>
      <c r="B339" s="752" t="s">
        <v>35</v>
      </c>
      <c r="C339" s="751" t="s">
        <v>2960</v>
      </c>
      <c r="D339" s="752" t="s">
        <v>130</v>
      </c>
      <c r="E339" s="752" t="s">
        <v>726</v>
      </c>
      <c r="F339" s="751">
        <v>9645</v>
      </c>
      <c r="G339" s="752" t="s">
        <v>59</v>
      </c>
      <c r="H339" s="752" t="s">
        <v>1244</v>
      </c>
      <c r="I339" s="752" t="s">
        <v>60</v>
      </c>
      <c r="J339" s="751">
        <v>22</v>
      </c>
      <c r="K339" s="751">
        <v>1</v>
      </c>
      <c r="L339" s="752" t="s">
        <v>36</v>
      </c>
      <c r="M339" s="752" t="s">
        <v>44</v>
      </c>
      <c r="N339" s="752" t="s">
        <v>48</v>
      </c>
      <c r="O339" s="752" t="s">
        <v>48</v>
      </c>
      <c r="P339" s="752" t="s">
        <v>49</v>
      </c>
      <c r="Q339" s="753">
        <v>0</v>
      </c>
      <c r="R339" s="753">
        <v>0</v>
      </c>
      <c r="S339" s="753">
        <v>0</v>
      </c>
      <c r="T339" s="753">
        <v>0</v>
      </c>
      <c r="U339" s="753">
        <v>0</v>
      </c>
      <c r="V339" s="751">
        <v>2019</v>
      </c>
      <c r="W339" s="222" t="s">
        <v>2666</v>
      </c>
      <c r="X339" s="186"/>
      <c r="Y339" s="178" t="str">
        <f t="shared" si="16"/>
        <v/>
      </c>
      <c r="Z339" s="178" t="str">
        <f t="shared" si="17"/>
        <v/>
      </c>
      <c r="AA339" s="44"/>
      <c r="AB339" s="65"/>
    </row>
    <row r="340" spans="1:28" hidden="1">
      <c r="A340" s="751">
        <v>2682</v>
      </c>
      <c r="B340" s="752" t="s">
        <v>35</v>
      </c>
      <c r="C340" s="751" t="s">
        <v>2960</v>
      </c>
      <c r="D340" s="752" t="s">
        <v>130</v>
      </c>
      <c r="E340" s="752" t="s">
        <v>726</v>
      </c>
      <c r="F340" s="751">
        <v>9645</v>
      </c>
      <c r="G340" s="752" t="s">
        <v>59</v>
      </c>
      <c r="H340" s="752" t="s">
        <v>1244</v>
      </c>
      <c r="I340" s="752" t="s">
        <v>60</v>
      </c>
      <c r="J340" s="751">
        <v>22</v>
      </c>
      <c r="K340" s="751">
        <v>1</v>
      </c>
      <c r="L340" s="752" t="s">
        <v>36</v>
      </c>
      <c r="M340" s="752" t="s">
        <v>44</v>
      </c>
      <c r="N340" s="752" t="s">
        <v>41</v>
      </c>
      <c r="O340" s="752" t="s">
        <v>41</v>
      </c>
      <c r="P340" s="752" t="s">
        <v>1091</v>
      </c>
      <c r="Q340" s="753">
        <v>186623</v>
      </c>
      <c r="R340" s="753">
        <v>186623</v>
      </c>
      <c r="S340" s="753">
        <v>192408</v>
      </c>
      <c r="T340" s="753">
        <v>192408</v>
      </c>
      <c r="U340" s="753">
        <v>32895</v>
      </c>
      <c r="V340" s="751">
        <v>2019</v>
      </c>
      <c r="W340" s="222" t="s">
        <v>2666</v>
      </c>
      <c r="X340" s="186"/>
      <c r="Y340" s="178" t="str">
        <f t="shared" si="16"/>
        <v/>
      </c>
      <c r="Z340" s="178" t="str">
        <f t="shared" si="17"/>
        <v/>
      </c>
      <c r="AA340" s="44"/>
      <c r="AB340" s="65"/>
    </row>
    <row r="341" spans="1:28" hidden="1">
      <c r="A341" s="751">
        <v>2685</v>
      </c>
      <c r="B341" s="752" t="s">
        <v>35</v>
      </c>
      <c r="C341" s="751" t="s">
        <v>2960</v>
      </c>
      <c r="D341" s="752" t="s">
        <v>727</v>
      </c>
      <c r="E341" s="752" t="s">
        <v>58</v>
      </c>
      <c r="F341" s="751">
        <v>15296</v>
      </c>
      <c r="G341" s="752" t="s">
        <v>59</v>
      </c>
      <c r="H341" s="752" t="s">
        <v>1244</v>
      </c>
      <c r="I341" s="752" t="s">
        <v>60</v>
      </c>
      <c r="J341" s="751">
        <v>22</v>
      </c>
      <c r="K341" s="751">
        <v>1</v>
      </c>
      <c r="L341" s="752" t="s">
        <v>36</v>
      </c>
      <c r="M341" s="752" t="s">
        <v>37</v>
      </c>
      <c r="N341" s="752" t="s">
        <v>38</v>
      </c>
      <c r="O341" s="752" t="s">
        <v>39</v>
      </c>
      <c r="P341" s="752" t="s">
        <v>1238</v>
      </c>
      <c r="Q341" s="753">
        <v>0</v>
      </c>
      <c r="R341" s="753">
        <v>0</v>
      </c>
      <c r="S341" s="753">
        <v>647430</v>
      </c>
      <c r="T341" s="753">
        <v>647430</v>
      </c>
      <c r="U341" s="753">
        <v>72712</v>
      </c>
      <c r="V341" s="751">
        <v>2019</v>
      </c>
      <c r="W341" s="222"/>
      <c r="X341" s="186"/>
      <c r="Y341" s="178" t="str">
        <f t="shared" si="16"/>
        <v/>
      </c>
      <c r="Z341" s="178" t="str">
        <f t="shared" si="17"/>
        <v/>
      </c>
      <c r="AA341" s="44"/>
      <c r="AB341" s="65"/>
    </row>
    <row r="342" spans="1:28" hidden="1">
      <c r="A342" s="751">
        <v>2686</v>
      </c>
      <c r="B342" s="752" t="s">
        <v>35</v>
      </c>
      <c r="C342" s="751" t="s">
        <v>2960</v>
      </c>
      <c r="D342" s="752" t="s">
        <v>728</v>
      </c>
      <c r="E342" s="752" t="s">
        <v>58</v>
      </c>
      <c r="F342" s="751">
        <v>15296</v>
      </c>
      <c r="G342" s="752" t="s">
        <v>59</v>
      </c>
      <c r="H342" s="752" t="s">
        <v>1244</v>
      </c>
      <c r="I342" s="752" t="s">
        <v>60</v>
      </c>
      <c r="J342" s="751">
        <v>22</v>
      </c>
      <c r="K342" s="751">
        <v>1</v>
      </c>
      <c r="L342" s="752" t="s">
        <v>36</v>
      </c>
      <c r="M342" s="752" t="s">
        <v>37</v>
      </c>
      <c r="N342" s="752" t="s">
        <v>38</v>
      </c>
      <c r="O342" s="752" t="s">
        <v>39</v>
      </c>
      <c r="P342" s="752" t="s">
        <v>1238</v>
      </c>
      <c r="Q342" s="753">
        <v>0</v>
      </c>
      <c r="R342" s="753">
        <v>0</v>
      </c>
      <c r="S342" s="753">
        <v>584317</v>
      </c>
      <c r="T342" s="753">
        <v>584317</v>
      </c>
      <c r="U342" s="753">
        <v>65624</v>
      </c>
      <c r="V342" s="751">
        <v>2019</v>
      </c>
      <c r="W342" s="222"/>
      <c r="X342" s="186"/>
      <c r="Y342" s="178" t="str">
        <f t="shared" si="16"/>
        <v/>
      </c>
      <c r="Z342" s="178" t="str">
        <f t="shared" si="17"/>
        <v/>
      </c>
      <c r="AA342" s="44"/>
      <c r="AB342" s="65"/>
    </row>
    <row r="343" spans="1:28" ht="25" hidden="1">
      <c r="A343" s="751">
        <v>2691</v>
      </c>
      <c r="B343" s="752" t="s">
        <v>35</v>
      </c>
      <c r="C343" s="751" t="s">
        <v>2960</v>
      </c>
      <c r="D343" s="752" t="s">
        <v>131</v>
      </c>
      <c r="E343" s="752" t="s">
        <v>58</v>
      </c>
      <c r="F343" s="751">
        <v>15296</v>
      </c>
      <c r="G343" s="752" t="s">
        <v>59</v>
      </c>
      <c r="H343" s="752" t="s">
        <v>1244</v>
      </c>
      <c r="I343" s="752" t="s">
        <v>60</v>
      </c>
      <c r="J343" s="751">
        <v>22</v>
      </c>
      <c r="K343" s="751">
        <v>1</v>
      </c>
      <c r="L343" s="752" t="s">
        <v>36</v>
      </c>
      <c r="M343" s="752" t="s">
        <v>61</v>
      </c>
      <c r="N343" s="752" t="s">
        <v>38</v>
      </c>
      <c r="O343" s="752" t="s">
        <v>62</v>
      </c>
      <c r="P343" s="752" t="s">
        <v>2961</v>
      </c>
      <c r="Q343" s="753">
        <v>353653</v>
      </c>
      <c r="R343" s="753">
        <v>353653</v>
      </c>
      <c r="S343" s="753">
        <v>0</v>
      </c>
      <c r="T343" s="753">
        <v>0</v>
      </c>
      <c r="U343" s="753">
        <v>-120509</v>
      </c>
      <c r="V343" s="751">
        <v>2019</v>
      </c>
      <c r="W343" s="222"/>
      <c r="X343" s="186"/>
      <c r="Y343" s="178" t="str">
        <f t="shared" si="16"/>
        <v/>
      </c>
      <c r="Z343" s="178" t="str">
        <f t="shared" si="17"/>
        <v/>
      </c>
      <c r="AA343" s="44"/>
      <c r="AB343" s="65"/>
    </row>
    <row r="344" spans="1:28" ht="25" hidden="1">
      <c r="A344" s="751">
        <v>2692</v>
      </c>
      <c r="B344" s="752" t="s">
        <v>35</v>
      </c>
      <c r="C344" s="751" t="s">
        <v>2960</v>
      </c>
      <c r="D344" s="752" t="s">
        <v>132</v>
      </c>
      <c r="E344" s="752" t="s">
        <v>58</v>
      </c>
      <c r="F344" s="751">
        <v>15296</v>
      </c>
      <c r="G344" s="752" t="s">
        <v>59</v>
      </c>
      <c r="H344" s="752" t="s">
        <v>1244</v>
      </c>
      <c r="I344" s="752" t="s">
        <v>60</v>
      </c>
      <c r="J344" s="751">
        <v>22</v>
      </c>
      <c r="K344" s="751">
        <v>1</v>
      </c>
      <c r="L344" s="752" t="s">
        <v>36</v>
      </c>
      <c r="M344" s="752" t="s">
        <v>61</v>
      </c>
      <c r="N344" s="752" t="s">
        <v>38</v>
      </c>
      <c r="O344" s="752" t="s">
        <v>62</v>
      </c>
      <c r="P344" s="752" t="s">
        <v>2961</v>
      </c>
      <c r="Q344" s="753">
        <v>544086</v>
      </c>
      <c r="R344" s="753">
        <v>544086</v>
      </c>
      <c r="S344" s="753">
        <v>0</v>
      </c>
      <c r="T344" s="753">
        <v>0</v>
      </c>
      <c r="U344" s="753">
        <v>-195080</v>
      </c>
      <c r="V344" s="751">
        <v>2019</v>
      </c>
      <c r="W344" s="222"/>
      <c r="X344" s="186" t="str">
        <f>IF(OR(K344&gt;3,T344=0,NOT(U344&gt;0)),"",T344/U344)</f>
        <v/>
      </c>
      <c r="Y344" s="178" t="str">
        <f t="shared" si="16"/>
        <v/>
      </c>
      <c r="Z344" s="178" t="str">
        <f t="shared" si="17"/>
        <v/>
      </c>
      <c r="AA344" s="44"/>
      <c r="AB344" s="65"/>
    </row>
    <row r="345" spans="1:28" hidden="1">
      <c r="A345" s="751">
        <v>2693</v>
      </c>
      <c r="B345" s="752" t="s">
        <v>35</v>
      </c>
      <c r="C345" s="751" t="s">
        <v>2960</v>
      </c>
      <c r="D345" s="752" t="s">
        <v>133</v>
      </c>
      <c r="E345" s="752" t="s">
        <v>58</v>
      </c>
      <c r="F345" s="751">
        <v>15296</v>
      </c>
      <c r="G345" s="752" t="s">
        <v>59</v>
      </c>
      <c r="H345" s="752" t="s">
        <v>1244</v>
      </c>
      <c r="I345" s="752" t="s">
        <v>60</v>
      </c>
      <c r="J345" s="751">
        <v>22</v>
      </c>
      <c r="K345" s="751">
        <v>1</v>
      </c>
      <c r="L345" s="752" t="s">
        <v>36</v>
      </c>
      <c r="M345" s="752" t="s">
        <v>37</v>
      </c>
      <c r="N345" s="752" t="s">
        <v>38</v>
      </c>
      <c r="O345" s="752" t="s">
        <v>39</v>
      </c>
      <c r="P345" s="752" t="s">
        <v>1238</v>
      </c>
      <c r="Q345" s="753">
        <v>0</v>
      </c>
      <c r="R345" s="753">
        <v>0</v>
      </c>
      <c r="S345" s="753">
        <v>150560424</v>
      </c>
      <c r="T345" s="753">
        <v>150560424</v>
      </c>
      <c r="U345" s="753">
        <v>16909302</v>
      </c>
      <c r="V345" s="751">
        <v>2019</v>
      </c>
      <c r="W345" s="222"/>
      <c r="X345" s="186">
        <f>IF(OR(K345&gt;3,T345=0,NOT(U345&gt;0)),"",T345/U345)</f>
        <v>8.9039999403878411</v>
      </c>
      <c r="Y345" s="178" t="str">
        <f t="shared" si="16"/>
        <v/>
      </c>
      <c r="Z345" s="178" t="str">
        <f t="shared" si="17"/>
        <v/>
      </c>
      <c r="AA345" s="44"/>
      <c r="AB345" s="65"/>
    </row>
    <row r="346" spans="1:28" hidden="1">
      <c r="A346" s="751">
        <v>2694</v>
      </c>
      <c r="B346" s="752" t="s">
        <v>35</v>
      </c>
      <c r="C346" s="751" t="s">
        <v>2960</v>
      </c>
      <c r="D346" s="752" t="s">
        <v>134</v>
      </c>
      <c r="E346" s="752" t="s">
        <v>58</v>
      </c>
      <c r="F346" s="751">
        <v>15296</v>
      </c>
      <c r="G346" s="752" t="s">
        <v>59</v>
      </c>
      <c r="H346" s="752" t="s">
        <v>1244</v>
      </c>
      <c r="I346" s="752" t="s">
        <v>60</v>
      </c>
      <c r="J346" s="751">
        <v>22</v>
      </c>
      <c r="K346" s="751">
        <v>1</v>
      </c>
      <c r="L346" s="752" t="s">
        <v>36</v>
      </c>
      <c r="M346" s="752" t="s">
        <v>37</v>
      </c>
      <c r="N346" s="752" t="s">
        <v>38</v>
      </c>
      <c r="O346" s="752" t="s">
        <v>39</v>
      </c>
      <c r="P346" s="752" t="s">
        <v>1238</v>
      </c>
      <c r="Q346" s="753">
        <v>0</v>
      </c>
      <c r="R346" s="753">
        <v>0</v>
      </c>
      <c r="S346" s="753">
        <v>68412229</v>
      </c>
      <c r="T346" s="753">
        <v>68412229</v>
      </c>
      <c r="U346" s="753">
        <v>7683314</v>
      </c>
      <c r="V346" s="751">
        <v>2019</v>
      </c>
      <c r="W346" s="222"/>
      <c r="X346" s="186"/>
      <c r="Y346" s="178" t="str">
        <f t="shared" si="16"/>
        <v/>
      </c>
      <c r="Z346" s="178" t="str">
        <f t="shared" si="17"/>
        <v/>
      </c>
      <c r="AA346" s="44"/>
      <c r="AB346" s="65"/>
    </row>
    <row r="347" spans="1:28" hidden="1">
      <c r="A347" s="751">
        <v>2695</v>
      </c>
      <c r="B347" s="752" t="s">
        <v>35</v>
      </c>
      <c r="C347" s="751" t="s">
        <v>2960</v>
      </c>
      <c r="D347" s="752" t="s">
        <v>729</v>
      </c>
      <c r="E347" s="752" t="s">
        <v>1658</v>
      </c>
      <c r="F347" s="751">
        <v>16217</v>
      </c>
      <c r="G347" s="752" t="s">
        <v>59</v>
      </c>
      <c r="H347" s="752" t="s">
        <v>1244</v>
      </c>
      <c r="I347" s="752" t="s">
        <v>60</v>
      </c>
      <c r="J347" s="751">
        <v>22</v>
      </c>
      <c r="K347" s="751">
        <v>1</v>
      </c>
      <c r="L347" s="752" t="s">
        <v>36</v>
      </c>
      <c r="M347" s="752" t="s">
        <v>53</v>
      </c>
      <c r="N347" s="752" t="s">
        <v>48</v>
      </c>
      <c r="O347" s="752" t="s">
        <v>48</v>
      </c>
      <c r="P347" s="752" t="s">
        <v>49</v>
      </c>
      <c r="Q347" s="753">
        <v>822</v>
      </c>
      <c r="R347" s="753">
        <v>822</v>
      </c>
      <c r="S347" s="753">
        <v>4804</v>
      </c>
      <c r="T347" s="753">
        <v>4804</v>
      </c>
      <c r="U347" s="753">
        <v>-332.85500000000002</v>
      </c>
      <c r="V347" s="751">
        <v>2019</v>
      </c>
      <c r="W347" s="222"/>
      <c r="X347" s="186"/>
      <c r="Y347" s="178" t="str">
        <f t="shared" si="16"/>
        <v/>
      </c>
      <c r="Z347" s="178" t="str">
        <f t="shared" si="17"/>
        <v/>
      </c>
      <c r="AA347" s="44"/>
      <c r="AB347" s="65"/>
    </row>
    <row r="348" spans="1:28" hidden="1">
      <c r="A348" s="751">
        <v>2695</v>
      </c>
      <c r="B348" s="752" t="s">
        <v>35</v>
      </c>
      <c r="C348" s="751" t="s">
        <v>2960</v>
      </c>
      <c r="D348" s="752" t="s">
        <v>729</v>
      </c>
      <c r="E348" s="752" t="s">
        <v>1658</v>
      </c>
      <c r="F348" s="751">
        <v>16217</v>
      </c>
      <c r="G348" s="752" t="s">
        <v>59</v>
      </c>
      <c r="H348" s="752" t="s">
        <v>1244</v>
      </c>
      <c r="I348" s="752" t="s">
        <v>60</v>
      </c>
      <c r="J348" s="751">
        <v>22</v>
      </c>
      <c r="K348" s="751">
        <v>1</v>
      </c>
      <c r="L348" s="752" t="s">
        <v>36</v>
      </c>
      <c r="M348" s="752" t="s">
        <v>53</v>
      </c>
      <c r="N348" s="752" t="s">
        <v>41</v>
      </c>
      <c r="O348" s="752" t="s">
        <v>41</v>
      </c>
      <c r="P348" s="752" t="s">
        <v>1091</v>
      </c>
      <c r="Q348" s="753">
        <v>8513</v>
      </c>
      <c r="R348" s="753">
        <v>8513</v>
      </c>
      <c r="S348" s="753">
        <v>9136</v>
      </c>
      <c r="T348" s="753">
        <v>9136</v>
      </c>
      <c r="U348" s="753">
        <v>-633.14499999999998</v>
      </c>
      <c r="V348" s="751">
        <v>2019</v>
      </c>
      <c r="W348" s="222"/>
      <c r="X348" s="186" t="str">
        <f>IF(OR(K348&gt;3,T348=0,NOT(U348&gt;0)),"",T348/U348)</f>
        <v/>
      </c>
      <c r="Y348" s="178" t="str">
        <f t="shared" si="16"/>
        <v/>
      </c>
      <c r="Z348" s="178" t="str">
        <f t="shared" si="17"/>
        <v/>
      </c>
      <c r="AA348" s="44"/>
      <c r="AB348" s="65"/>
    </row>
    <row r="349" spans="1:28" hidden="1">
      <c r="A349" s="751">
        <v>2700</v>
      </c>
      <c r="B349" s="752" t="s">
        <v>35</v>
      </c>
      <c r="C349" s="751" t="s">
        <v>2960</v>
      </c>
      <c r="D349" s="752" t="s">
        <v>730</v>
      </c>
      <c r="E349" s="752" t="s">
        <v>1160</v>
      </c>
      <c r="F349" s="751">
        <v>20188</v>
      </c>
      <c r="G349" s="752" t="s">
        <v>59</v>
      </c>
      <c r="H349" s="752" t="s">
        <v>1244</v>
      </c>
      <c r="I349" s="752" t="s">
        <v>60</v>
      </c>
      <c r="J349" s="751">
        <v>22</v>
      </c>
      <c r="K349" s="751">
        <v>1</v>
      </c>
      <c r="L349" s="752" t="s">
        <v>36</v>
      </c>
      <c r="M349" s="752" t="s">
        <v>37</v>
      </c>
      <c r="N349" s="752" t="s">
        <v>38</v>
      </c>
      <c r="O349" s="752" t="s">
        <v>39</v>
      </c>
      <c r="P349" s="752" t="s">
        <v>1238</v>
      </c>
      <c r="Q349" s="753">
        <v>0</v>
      </c>
      <c r="R349" s="753">
        <v>0</v>
      </c>
      <c r="S349" s="753">
        <v>214159</v>
      </c>
      <c r="T349" s="753">
        <v>214159</v>
      </c>
      <c r="U349" s="753">
        <v>24052</v>
      </c>
      <c r="V349" s="751">
        <v>2019</v>
      </c>
      <c r="W349" s="222"/>
      <c r="X349" s="186">
        <f>IF(OR(K349&gt;3,T349=0,NOT(U349&gt;0)),"",T349/U349)</f>
        <v>8.9039996673873283</v>
      </c>
      <c r="Y349" s="178" t="str">
        <f t="shared" si="16"/>
        <v/>
      </c>
      <c r="Z349" s="178" t="str">
        <f t="shared" si="17"/>
        <v/>
      </c>
      <c r="AA349" s="44"/>
      <c r="AB349" s="65"/>
    </row>
    <row r="350" spans="1:28" hidden="1">
      <c r="A350" s="751">
        <v>3236</v>
      </c>
      <c r="B350" s="752" t="s">
        <v>35</v>
      </c>
      <c r="C350" s="751" t="s">
        <v>2960</v>
      </c>
      <c r="D350" s="752" t="s">
        <v>135</v>
      </c>
      <c r="E350" s="752" t="s">
        <v>2967</v>
      </c>
      <c r="F350" s="751">
        <v>63350</v>
      </c>
      <c r="G350" s="752" t="s">
        <v>136</v>
      </c>
      <c r="H350" s="752" t="s">
        <v>1245</v>
      </c>
      <c r="I350" s="752" t="s">
        <v>60</v>
      </c>
      <c r="J350" s="751">
        <v>22</v>
      </c>
      <c r="K350" s="751">
        <v>2</v>
      </c>
      <c r="L350" s="752" t="s">
        <v>54</v>
      </c>
      <c r="M350" s="752" t="s">
        <v>40</v>
      </c>
      <c r="N350" s="752" t="s">
        <v>48</v>
      </c>
      <c r="O350" s="752" t="s">
        <v>48</v>
      </c>
      <c r="P350" s="752" t="s">
        <v>49</v>
      </c>
      <c r="Q350" s="753">
        <v>0</v>
      </c>
      <c r="R350" s="753">
        <v>0</v>
      </c>
      <c r="S350" s="753">
        <v>0</v>
      </c>
      <c r="T350" s="753">
        <v>0</v>
      </c>
      <c r="U350" s="753">
        <v>631.14700000000005</v>
      </c>
      <c r="V350" s="751">
        <v>2019</v>
      </c>
      <c r="W350" s="222" t="s">
        <v>2666</v>
      </c>
      <c r="X350" s="186"/>
      <c r="Y350" s="178" t="str">
        <f t="shared" si="16"/>
        <v/>
      </c>
      <c r="Z350" s="178" t="str">
        <f t="shared" si="17"/>
        <v/>
      </c>
      <c r="AA350" s="44"/>
      <c r="AB350" s="65"/>
    </row>
    <row r="351" spans="1:28" hidden="1">
      <c r="A351" s="751">
        <v>3236</v>
      </c>
      <c r="B351" s="752" t="s">
        <v>35</v>
      </c>
      <c r="C351" s="751" t="s">
        <v>2960</v>
      </c>
      <c r="D351" s="752" t="s">
        <v>135</v>
      </c>
      <c r="E351" s="752" t="s">
        <v>2967</v>
      </c>
      <c r="F351" s="751">
        <v>63350</v>
      </c>
      <c r="G351" s="752" t="s">
        <v>136</v>
      </c>
      <c r="H351" s="752" t="s">
        <v>1245</v>
      </c>
      <c r="I351" s="752" t="s">
        <v>60</v>
      </c>
      <c r="J351" s="751">
        <v>22</v>
      </c>
      <c r="K351" s="751">
        <v>2</v>
      </c>
      <c r="L351" s="752" t="s">
        <v>54</v>
      </c>
      <c r="M351" s="752" t="s">
        <v>40</v>
      </c>
      <c r="N351" s="752" t="s">
        <v>41</v>
      </c>
      <c r="O351" s="752" t="s">
        <v>41</v>
      </c>
      <c r="P351" s="752" t="s">
        <v>1091</v>
      </c>
      <c r="Q351" s="753">
        <v>0</v>
      </c>
      <c r="R351" s="753">
        <v>0</v>
      </c>
      <c r="S351" s="753">
        <v>0</v>
      </c>
      <c r="T351" s="753">
        <v>0</v>
      </c>
      <c r="U351" s="753">
        <v>475643.85</v>
      </c>
      <c r="V351" s="751">
        <v>2019</v>
      </c>
      <c r="W351" s="222" t="s">
        <v>2666</v>
      </c>
      <c r="X351" s="186" t="str">
        <f>IF(OR(K351&gt;3,T351=0,NOT(U351&gt;0)),"",T351/U351)</f>
        <v/>
      </c>
      <c r="Y351" s="178" t="str">
        <f t="shared" si="16"/>
        <v/>
      </c>
      <c r="Z351" s="178" t="str">
        <f t="shared" si="17"/>
        <v/>
      </c>
      <c r="AA351" s="44"/>
      <c r="AB351" s="65"/>
    </row>
    <row r="352" spans="1:28" hidden="1">
      <c r="A352" s="751">
        <v>3236</v>
      </c>
      <c r="B352" s="752" t="s">
        <v>35</v>
      </c>
      <c r="C352" s="751" t="s">
        <v>2960</v>
      </c>
      <c r="D352" s="752" t="s">
        <v>135</v>
      </c>
      <c r="E352" s="752" t="s">
        <v>2967</v>
      </c>
      <c r="F352" s="751">
        <v>63350</v>
      </c>
      <c r="G352" s="752" t="s">
        <v>136</v>
      </c>
      <c r="H352" s="752" t="s">
        <v>1245</v>
      </c>
      <c r="I352" s="752" t="s">
        <v>60</v>
      </c>
      <c r="J352" s="751">
        <v>22</v>
      </c>
      <c r="K352" s="751">
        <v>2</v>
      </c>
      <c r="L352" s="752" t="s">
        <v>54</v>
      </c>
      <c r="M352" s="752" t="s">
        <v>43</v>
      </c>
      <c r="N352" s="752" t="s">
        <v>48</v>
      </c>
      <c r="O352" s="752" t="s">
        <v>48</v>
      </c>
      <c r="P352" s="752" t="s">
        <v>49</v>
      </c>
      <c r="Q352" s="753">
        <v>2929</v>
      </c>
      <c r="R352" s="753">
        <v>2929</v>
      </c>
      <c r="S352" s="753">
        <v>16998</v>
      </c>
      <c r="T352" s="753">
        <v>16998</v>
      </c>
      <c r="U352" s="753">
        <v>1390.789</v>
      </c>
      <c r="V352" s="751">
        <v>2019</v>
      </c>
      <c r="W352" s="222" t="s">
        <v>2666</v>
      </c>
      <c r="X352" s="186"/>
      <c r="Y352" s="178" t="str">
        <f t="shared" si="16"/>
        <v/>
      </c>
      <c r="Z352" s="178" t="str">
        <f t="shared" si="17"/>
        <v/>
      </c>
      <c r="AA352" s="44"/>
      <c r="AB352" s="65"/>
    </row>
    <row r="353" spans="1:28" hidden="1">
      <c r="A353" s="751">
        <v>3236</v>
      </c>
      <c r="B353" s="752" t="s">
        <v>35</v>
      </c>
      <c r="C353" s="751" t="s">
        <v>2960</v>
      </c>
      <c r="D353" s="752" t="s">
        <v>135</v>
      </c>
      <c r="E353" s="752" t="s">
        <v>2967</v>
      </c>
      <c r="F353" s="751">
        <v>63350</v>
      </c>
      <c r="G353" s="752" t="s">
        <v>136</v>
      </c>
      <c r="H353" s="752" t="s">
        <v>1245</v>
      </c>
      <c r="I353" s="752" t="s">
        <v>60</v>
      </c>
      <c r="J353" s="751">
        <v>22</v>
      </c>
      <c r="K353" s="751">
        <v>2</v>
      </c>
      <c r="L353" s="752" t="s">
        <v>54</v>
      </c>
      <c r="M353" s="752" t="s">
        <v>43</v>
      </c>
      <c r="N353" s="752" t="s">
        <v>41</v>
      </c>
      <c r="O353" s="752" t="s">
        <v>41</v>
      </c>
      <c r="P353" s="752" t="s">
        <v>1091</v>
      </c>
      <c r="Q353" s="753">
        <v>11676001</v>
      </c>
      <c r="R353" s="753">
        <v>11676001</v>
      </c>
      <c r="S353" s="753">
        <v>11985770</v>
      </c>
      <c r="T353" s="753">
        <v>11985770</v>
      </c>
      <c r="U353" s="753">
        <v>1006929.2</v>
      </c>
      <c r="V353" s="751">
        <v>2019</v>
      </c>
      <c r="W353" s="222" t="s">
        <v>2666</v>
      </c>
      <c r="X353" s="186"/>
      <c r="Y353" s="178" t="str">
        <f t="shared" si="16"/>
        <v/>
      </c>
      <c r="Z353" s="178" t="str">
        <f t="shared" si="17"/>
        <v/>
      </c>
      <c r="AA353" s="44"/>
      <c r="AB353" s="65"/>
    </row>
    <row r="354" spans="1:28" hidden="1">
      <c r="A354" s="751">
        <v>3708</v>
      </c>
      <c r="B354" s="752" t="s">
        <v>35</v>
      </c>
      <c r="C354" s="751" t="s">
        <v>2960</v>
      </c>
      <c r="D354" s="752" t="s">
        <v>731</v>
      </c>
      <c r="E354" s="752" t="s">
        <v>137</v>
      </c>
      <c r="F354" s="751">
        <v>7601</v>
      </c>
      <c r="G354" s="752" t="s">
        <v>91</v>
      </c>
      <c r="H354" s="752" t="s">
        <v>1245</v>
      </c>
      <c r="I354" s="752" t="s">
        <v>60</v>
      </c>
      <c r="J354" s="751">
        <v>22</v>
      </c>
      <c r="K354" s="751">
        <v>1</v>
      </c>
      <c r="L354" s="752" t="s">
        <v>36</v>
      </c>
      <c r="M354" s="752" t="s">
        <v>52</v>
      </c>
      <c r="N354" s="752" t="s">
        <v>48</v>
      </c>
      <c r="O354" s="752" t="s">
        <v>48</v>
      </c>
      <c r="P354" s="752" t="s">
        <v>49</v>
      </c>
      <c r="Q354" s="753">
        <v>844</v>
      </c>
      <c r="R354" s="753">
        <v>844</v>
      </c>
      <c r="S354" s="753">
        <v>4816</v>
      </c>
      <c r="T354" s="753">
        <v>4816</v>
      </c>
      <c r="U354" s="753">
        <v>150</v>
      </c>
      <c r="V354" s="751">
        <v>2019</v>
      </c>
      <c r="W354" s="222"/>
      <c r="X354" s="186"/>
      <c r="Y354" s="178" t="str">
        <f t="shared" si="16"/>
        <v/>
      </c>
      <c r="Z354" s="178" t="str">
        <f t="shared" si="17"/>
        <v/>
      </c>
      <c r="AA354" s="44"/>
      <c r="AB354" s="65"/>
    </row>
    <row r="355" spans="1:28" hidden="1">
      <c r="A355" s="751">
        <v>3709</v>
      </c>
      <c r="B355" s="752" t="s">
        <v>35</v>
      </c>
      <c r="C355" s="751" t="s">
        <v>2960</v>
      </c>
      <c r="D355" s="752" t="s">
        <v>1659</v>
      </c>
      <c r="E355" s="752" t="s">
        <v>137</v>
      </c>
      <c r="F355" s="751">
        <v>7601</v>
      </c>
      <c r="G355" s="752" t="s">
        <v>91</v>
      </c>
      <c r="H355" s="752" t="s">
        <v>1245</v>
      </c>
      <c r="I355" s="752" t="s">
        <v>60</v>
      </c>
      <c r="J355" s="751">
        <v>22</v>
      </c>
      <c r="K355" s="751">
        <v>1</v>
      </c>
      <c r="L355" s="752" t="s">
        <v>36</v>
      </c>
      <c r="M355" s="752" t="s">
        <v>37</v>
      </c>
      <c r="N355" s="752" t="s">
        <v>38</v>
      </c>
      <c r="O355" s="752" t="s">
        <v>39</v>
      </c>
      <c r="P355" s="752" t="s">
        <v>1238</v>
      </c>
      <c r="Q355" s="753">
        <v>0</v>
      </c>
      <c r="R355" s="753">
        <v>0</v>
      </c>
      <c r="S355" s="753">
        <v>29891</v>
      </c>
      <c r="T355" s="753">
        <v>29891</v>
      </c>
      <c r="U355" s="753">
        <v>3357</v>
      </c>
      <c r="V355" s="751">
        <v>2019</v>
      </c>
      <c r="W355" s="222"/>
      <c r="X355" s="186"/>
      <c r="Y355" s="178" t="str">
        <f t="shared" si="16"/>
        <v/>
      </c>
      <c r="Z355" s="178" t="str">
        <f t="shared" si="17"/>
        <v/>
      </c>
      <c r="AA355" s="44"/>
      <c r="AB355" s="65"/>
    </row>
    <row r="356" spans="1:28" hidden="1">
      <c r="A356" s="751">
        <v>3710</v>
      </c>
      <c r="B356" s="752" t="s">
        <v>35</v>
      </c>
      <c r="C356" s="751" t="s">
        <v>2960</v>
      </c>
      <c r="D356" s="752" t="s">
        <v>732</v>
      </c>
      <c r="E356" s="752" t="s">
        <v>137</v>
      </c>
      <c r="F356" s="751">
        <v>7601</v>
      </c>
      <c r="G356" s="752" t="s">
        <v>91</v>
      </c>
      <c r="H356" s="752" t="s">
        <v>1245</v>
      </c>
      <c r="I356" s="752" t="s">
        <v>60</v>
      </c>
      <c r="J356" s="751">
        <v>22</v>
      </c>
      <c r="K356" s="751">
        <v>1</v>
      </c>
      <c r="L356" s="752" t="s">
        <v>36</v>
      </c>
      <c r="M356" s="752" t="s">
        <v>37</v>
      </c>
      <c r="N356" s="752" t="s">
        <v>38</v>
      </c>
      <c r="O356" s="752" t="s">
        <v>39</v>
      </c>
      <c r="P356" s="752" t="s">
        <v>1238</v>
      </c>
      <c r="Q356" s="753">
        <v>0</v>
      </c>
      <c r="R356" s="753">
        <v>0</v>
      </c>
      <c r="S356" s="753">
        <v>33677</v>
      </c>
      <c r="T356" s="753">
        <v>33677</v>
      </c>
      <c r="U356" s="753">
        <v>3782</v>
      </c>
      <c r="V356" s="751">
        <v>2019</v>
      </c>
      <c r="W356" s="222"/>
      <c r="X356" s="186"/>
      <c r="Y356" s="178" t="str">
        <f t="shared" si="16"/>
        <v/>
      </c>
      <c r="Z356" s="178" t="str">
        <f t="shared" si="17"/>
        <v/>
      </c>
      <c r="AA356" s="44"/>
      <c r="AB356" s="65"/>
    </row>
    <row r="357" spans="1:28" hidden="1">
      <c r="A357" s="751">
        <v>3711</v>
      </c>
      <c r="B357" s="752" t="s">
        <v>35</v>
      </c>
      <c r="C357" s="751" t="s">
        <v>2960</v>
      </c>
      <c r="D357" s="752" t="s">
        <v>733</v>
      </c>
      <c r="E357" s="752" t="s">
        <v>137</v>
      </c>
      <c r="F357" s="751">
        <v>7601</v>
      </c>
      <c r="G357" s="752" t="s">
        <v>91</v>
      </c>
      <c r="H357" s="752" t="s">
        <v>1245</v>
      </c>
      <c r="I357" s="752" t="s">
        <v>60</v>
      </c>
      <c r="J357" s="751">
        <v>22</v>
      </c>
      <c r="K357" s="751">
        <v>1</v>
      </c>
      <c r="L357" s="752" t="s">
        <v>36</v>
      </c>
      <c r="M357" s="752" t="s">
        <v>37</v>
      </c>
      <c r="N357" s="752" t="s">
        <v>38</v>
      </c>
      <c r="O357" s="752" t="s">
        <v>39</v>
      </c>
      <c r="P357" s="752" t="s">
        <v>1238</v>
      </c>
      <c r="Q357" s="753">
        <v>0</v>
      </c>
      <c r="R357" s="753">
        <v>0</v>
      </c>
      <c r="S357" s="753">
        <v>144174</v>
      </c>
      <c r="T357" s="753">
        <v>144174</v>
      </c>
      <c r="U357" s="753">
        <v>16192</v>
      </c>
      <c r="V357" s="751">
        <v>2019</v>
      </c>
      <c r="W357" s="222"/>
      <c r="X357" s="186"/>
      <c r="Y357" s="178" t="str">
        <f t="shared" si="16"/>
        <v/>
      </c>
      <c r="Z357" s="178" t="str">
        <f t="shared" si="17"/>
        <v/>
      </c>
      <c r="AA357" s="44"/>
      <c r="AB357" s="65"/>
    </row>
    <row r="358" spans="1:28" hidden="1">
      <c r="A358" s="751">
        <v>3712</v>
      </c>
      <c r="B358" s="752" t="s">
        <v>35</v>
      </c>
      <c r="C358" s="751" t="s">
        <v>2960</v>
      </c>
      <c r="D358" s="752" t="s">
        <v>734</v>
      </c>
      <c r="E358" s="752" t="s">
        <v>137</v>
      </c>
      <c r="F358" s="751">
        <v>7601</v>
      </c>
      <c r="G358" s="752" t="s">
        <v>91</v>
      </c>
      <c r="H358" s="752" t="s">
        <v>1245</v>
      </c>
      <c r="I358" s="752" t="s">
        <v>60</v>
      </c>
      <c r="J358" s="751">
        <v>22</v>
      </c>
      <c r="K358" s="751">
        <v>1</v>
      </c>
      <c r="L358" s="752" t="s">
        <v>36</v>
      </c>
      <c r="M358" s="752" t="s">
        <v>37</v>
      </c>
      <c r="N358" s="752" t="s">
        <v>38</v>
      </c>
      <c r="O358" s="752" t="s">
        <v>39</v>
      </c>
      <c r="P358" s="752" t="s">
        <v>1238</v>
      </c>
      <c r="Q358" s="753">
        <v>0</v>
      </c>
      <c r="R358" s="753">
        <v>0</v>
      </c>
      <c r="S358" s="753">
        <v>203651</v>
      </c>
      <c r="T358" s="753">
        <v>203651</v>
      </c>
      <c r="U358" s="753">
        <v>22872</v>
      </c>
      <c r="V358" s="751">
        <v>2019</v>
      </c>
      <c r="W358" s="222"/>
      <c r="X358" s="186"/>
      <c r="Y358" s="178" t="str">
        <f t="shared" si="16"/>
        <v/>
      </c>
      <c r="Z358" s="178" t="str">
        <f t="shared" si="17"/>
        <v/>
      </c>
      <c r="AA358" s="44"/>
      <c r="AB358" s="65"/>
    </row>
    <row r="359" spans="1:28" hidden="1">
      <c r="A359" s="751">
        <v>3714</v>
      </c>
      <c r="B359" s="752" t="s">
        <v>35</v>
      </c>
      <c r="C359" s="751" t="s">
        <v>2960</v>
      </c>
      <c r="D359" s="752" t="s">
        <v>735</v>
      </c>
      <c r="E359" s="752" t="s">
        <v>137</v>
      </c>
      <c r="F359" s="751">
        <v>7601</v>
      </c>
      <c r="G359" s="752" t="s">
        <v>91</v>
      </c>
      <c r="H359" s="752" t="s">
        <v>1245</v>
      </c>
      <c r="I359" s="752" t="s">
        <v>60</v>
      </c>
      <c r="J359" s="751">
        <v>22</v>
      </c>
      <c r="K359" s="751">
        <v>1</v>
      </c>
      <c r="L359" s="752" t="s">
        <v>36</v>
      </c>
      <c r="M359" s="752" t="s">
        <v>37</v>
      </c>
      <c r="N359" s="752" t="s">
        <v>38</v>
      </c>
      <c r="O359" s="752" t="s">
        <v>39</v>
      </c>
      <c r="P359" s="752" t="s">
        <v>1238</v>
      </c>
      <c r="Q359" s="753">
        <v>0</v>
      </c>
      <c r="R359" s="753">
        <v>0</v>
      </c>
      <c r="S359" s="753">
        <v>79424</v>
      </c>
      <c r="T359" s="753">
        <v>79424</v>
      </c>
      <c r="U359" s="753">
        <v>8920</v>
      </c>
      <c r="V359" s="751">
        <v>2019</v>
      </c>
      <c r="W359" s="222"/>
      <c r="X359" s="186"/>
      <c r="Y359" s="178" t="str">
        <f t="shared" si="16"/>
        <v/>
      </c>
      <c r="Z359" s="178" t="str">
        <f t="shared" si="17"/>
        <v/>
      </c>
      <c r="AA359" s="44"/>
      <c r="AB359" s="65"/>
    </row>
    <row r="360" spans="1:28" hidden="1">
      <c r="A360" s="751">
        <v>3716</v>
      </c>
      <c r="B360" s="752" t="s">
        <v>35</v>
      </c>
      <c r="C360" s="751" t="s">
        <v>2960</v>
      </c>
      <c r="D360" s="752" t="s">
        <v>736</v>
      </c>
      <c r="E360" s="752" t="s">
        <v>137</v>
      </c>
      <c r="F360" s="751">
        <v>7601</v>
      </c>
      <c r="G360" s="752" t="s">
        <v>91</v>
      </c>
      <c r="H360" s="752" t="s">
        <v>1245</v>
      </c>
      <c r="I360" s="752" t="s">
        <v>60</v>
      </c>
      <c r="J360" s="751">
        <v>22</v>
      </c>
      <c r="K360" s="751">
        <v>1</v>
      </c>
      <c r="L360" s="752" t="s">
        <v>36</v>
      </c>
      <c r="M360" s="752" t="s">
        <v>37</v>
      </c>
      <c r="N360" s="752" t="s">
        <v>38</v>
      </c>
      <c r="O360" s="752" t="s">
        <v>39</v>
      </c>
      <c r="P360" s="752" t="s">
        <v>1238</v>
      </c>
      <c r="Q360" s="753">
        <v>0</v>
      </c>
      <c r="R360" s="753">
        <v>0</v>
      </c>
      <c r="S360" s="753">
        <v>0</v>
      </c>
      <c r="T360" s="753">
        <v>0</v>
      </c>
      <c r="U360" s="753">
        <v>0</v>
      </c>
      <c r="V360" s="751">
        <v>2019</v>
      </c>
      <c r="W360" s="222"/>
      <c r="X360" s="186"/>
      <c r="Y360" s="178" t="str">
        <f t="shared" si="16"/>
        <v/>
      </c>
      <c r="Z360" s="178" t="str">
        <f t="shared" si="17"/>
        <v/>
      </c>
      <c r="AA360" s="44"/>
      <c r="AB360" s="65"/>
    </row>
    <row r="361" spans="1:28" hidden="1">
      <c r="A361" s="751">
        <v>3717</v>
      </c>
      <c r="B361" s="752" t="s">
        <v>35</v>
      </c>
      <c r="C361" s="751" t="s">
        <v>2960</v>
      </c>
      <c r="D361" s="752" t="s">
        <v>737</v>
      </c>
      <c r="E361" s="752" t="s">
        <v>137</v>
      </c>
      <c r="F361" s="751">
        <v>7601</v>
      </c>
      <c r="G361" s="752" t="s">
        <v>91</v>
      </c>
      <c r="H361" s="752" t="s">
        <v>1245</v>
      </c>
      <c r="I361" s="752" t="s">
        <v>60</v>
      </c>
      <c r="J361" s="751">
        <v>22</v>
      </c>
      <c r="K361" s="751">
        <v>1</v>
      </c>
      <c r="L361" s="752" t="s">
        <v>36</v>
      </c>
      <c r="M361" s="752" t="s">
        <v>37</v>
      </c>
      <c r="N361" s="752" t="s">
        <v>38</v>
      </c>
      <c r="O361" s="752" t="s">
        <v>39</v>
      </c>
      <c r="P361" s="752" t="s">
        <v>1238</v>
      </c>
      <c r="Q361" s="753">
        <v>0</v>
      </c>
      <c r="R361" s="753">
        <v>0</v>
      </c>
      <c r="S361" s="753">
        <v>388731</v>
      </c>
      <c r="T361" s="753">
        <v>388731</v>
      </c>
      <c r="U361" s="753">
        <v>43658</v>
      </c>
      <c r="V361" s="751">
        <v>2019</v>
      </c>
      <c r="W361" s="222"/>
      <c r="X361" s="186"/>
      <c r="Y361" s="178" t="str">
        <f t="shared" si="16"/>
        <v/>
      </c>
      <c r="Z361" s="178" t="str">
        <f t="shared" si="17"/>
        <v/>
      </c>
      <c r="AA361" s="44"/>
      <c r="AB361" s="65"/>
    </row>
    <row r="362" spans="1:28" hidden="1">
      <c r="A362" s="751">
        <v>3720</v>
      </c>
      <c r="B362" s="752" t="s">
        <v>35</v>
      </c>
      <c r="C362" s="751" t="s">
        <v>2960</v>
      </c>
      <c r="D362" s="752" t="s">
        <v>738</v>
      </c>
      <c r="E362" s="752" t="s">
        <v>137</v>
      </c>
      <c r="F362" s="751">
        <v>7601</v>
      </c>
      <c r="G362" s="752" t="s">
        <v>91</v>
      </c>
      <c r="H362" s="752" t="s">
        <v>1245</v>
      </c>
      <c r="I362" s="752" t="s">
        <v>60</v>
      </c>
      <c r="J362" s="751">
        <v>22</v>
      </c>
      <c r="K362" s="751">
        <v>1</v>
      </c>
      <c r="L362" s="752" t="s">
        <v>36</v>
      </c>
      <c r="M362" s="752" t="s">
        <v>37</v>
      </c>
      <c r="N362" s="752" t="s">
        <v>38</v>
      </c>
      <c r="O362" s="752" t="s">
        <v>39</v>
      </c>
      <c r="P362" s="752" t="s">
        <v>1238</v>
      </c>
      <c r="Q362" s="753">
        <v>0</v>
      </c>
      <c r="R362" s="753">
        <v>0</v>
      </c>
      <c r="S362" s="753">
        <v>144174</v>
      </c>
      <c r="T362" s="753">
        <v>144174</v>
      </c>
      <c r="U362" s="753">
        <v>16192</v>
      </c>
      <c r="V362" s="751">
        <v>2019</v>
      </c>
      <c r="W362" s="222"/>
      <c r="X362" s="186"/>
      <c r="Y362" s="178" t="str">
        <f t="shared" si="16"/>
        <v/>
      </c>
      <c r="Z362" s="178" t="str">
        <f t="shared" si="17"/>
        <v/>
      </c>
      <c r="AA362" s="44"/>
      <c r="AB362" s="65"/>
    </row>
    <row r="363" spans="1:28" hidden="1">
      <c r="A363" s="751">
        <v>3722</v>
      </c>
      <c r="B363" s="752" t="s">
        <v>35</v>
      </c>
      <c r="C363" s="751" t="s">
        <v>2960</v>
      </c>
      <c r="D363" s="752" t="s">
        <v>739</v>
      </c>
      <c r="E363" s="752" t="s">
        <v>137</v>
      </c>
      <c r="F363" s="751">
        <v>7601</v>
      </c>
      <c r="G363" s="752" t="s">
        <v>91</v>
      </c>
      <c r="H363" s="752" t="s">
        <v>1245</v>
      </c>
      <c r="I363" s="752" t="s">
        <v>60</v>
      </c>
      <c r="J363" s="751">
        <v>22</v>
      </c>
      <c r="K363" s="751">
        <v>1</v>
      </c>
      <c r="L363" s="752" t="s">
        <v>36</v>
      </c>
      <c r="M363" s="752" t="s">
        <v>37</v>
      </c>
      <c r="N363" s="752" t="s">
        <v>38</v>
      </c>
      <c r="O363" s="752" t="s">
        <v>39</v>
      </c>
      <c r="P363" s="752" t="s">
        <v>1238</v>
      </c>
      <c r="Q363" s="753">
        <v>0</v>
      </c>
      <c r="R363" s="753">
        <v>0</v>
      </c>
      <c r="S363" s="753">
        <v>101408</v>
      </c>
      <c r="T363" s="753">
        <v>101408</v>
      </c>
      <c r="U363" s="753">
        <v>11389</v>
      </c>
      <c r="V363" s="751">
        <v>2019</v>
      </c>
      <c r="W363" s="222"/>
      <c r="X363" s="186"/>
      <c r="Y363" s="178" t="str">
        <f t="shared" si="16"/>
        <v/>
      </c>
      <c r="Z363" s="178" t="str">
        <f t="shared" si="17"/>
        <v/>
      </c>
      <c r="AA363" s="44"/>
      <c r="AB363" s="65"/>
    </row>
    <row r="364" spans="1:28" hidden="1">
      <c r="A364" s="751">
        <v>3723</v>
      </c>
      <c r="B364" s="752" t="s">
        <v>35</v>
      </c>
      <c r="C364" s="751" t="s">
        <v>2960</v>
      </c>
      <c r="D364" s="752" t="s">
        <v>740</v>
      </c>
      <c r="E364" s="752" t="s">
        <v>137</v>
      </c>
      <c r="F364" s="751">
        <v>7601</v>
      </c>
      <c r="G364" s="752" t="s">
        <v>91</v>
      </c>
      <c r="H364" s="752" t="s">
        <v>1245</v>
      </c>
      <c r="I364" s="752" t="s">
        <v>60</v>
      </c>
      <c r="J364" s="751">
        <v>22</v>
      </c>
      <c r="K364" s="751">
        <v>1</v>
      </c>
      <c r="L364" s="752" t="s">
        <v>36</v>
      </c>
      <c r="M364" s="752" t="s">
        <v>52</v>
      </c>
      <c r="N364" s="752" t="s">
        <v>48</v>
      </c>
      <c r="O364" s="752" t="s">
        <v>48</v>
      </c>
      <c r="P364" s="752" t="s">
        <v>49</v>
      </c>
      <c r="Q364" s="753">
        <v>607</v>
      </c>
      <c r="R364" s="753">
        <v>607</v>
      </c>
      <c r="S364" s="753">
        <v>3519</v>
      </c>
      <c r="T364" s="753">
        <v>3519</v>
      </c>
      <c r="U364" s="753">
        <v>95</v>
      </c>
      <c r="V364" s="751">
        <v>2019</v>
      </c>
      <c r="W364" s="222"/>
      <c r="X364" s="186"/>
      <c r="Y364" s="178" t="str">
        <f t="shared" si="16"/>
        <v/>
      </c>
      <c r="Z364" s="178" t="str">
        <f t="shared" si="17"/>
        <v/>
      </c>
      <c r="AA364" s="44"/>
      <c r="AB364" s="65"/>
    </row>
    <row r="365" spans="1:28" ht="12.75" hidden="1" customHeight="1">
      <c r="A365" s="751">
        <v>3724</v>
      </c>
      <c r="B365" s="752" t="s">
        <v>35</v>
      </c>
      <c r="C365" s="751" t="s">
        <v>2960</v>
      </c>
      <c r="D365" s="752" t="s">
        <v>741</v>
      </c>
      <c r="E365" s="752" t="s">
        <v>137</v>
      </c>
      <c r="F365" s="751">
        <v>7601</v>
      </c>
      <c r="G365" s="752" t="s">
        <v>91</v>
      </c>
      <c r="H365" s="752" t="s">
        <v>1245</v>
      </c>
      <c r="I365" s="752" t="s">
        <v>60</v>
      </c>
      <c r="J365" s="751">
        <v>22</v>
      </c>
      <c r="K365" s="751">
        <v>1</v>
      </c>
      <c r="L365" s="752" t="s">
        <v>36</v>
      </c>
      <c r="M365" s="752" t="s">
        <v>37</v>
      </c>
      <c r="N365" s="752" t="s">
        <v>38</v>
      </c>
      <c r="O365" s="752" t="s">
        <v>39</v>
      </c>
      <c r="P365" s="752" t="s">
        <v>1238</v>
      </c>
      <c r="Q365" s="753">
        <v>0</v>
      </c>
      <c r="R365" s="753">
        <v>0</v>
      </c>
      <c r="S365" s="753">
        <v>41634</v>
      </c>
      <c r="T365" s="753">
        <v>41634</v>
      </c>
      <c r="U365" s="753">
        <v>4676</v>
      </c>
      <c r="V365" s="751">
        <v>2019</v>
      </c>
      <c r="W365" s="222"/>
      <c r="X365" s="186"/>
      <c r="Y365" s="178" t="str">
        <f t="shared" si="16"/>
        <v/>
      </c>
      <c r="Z365" s="178" t="str">
        <f t="shared" si="17"/>
        <v/>
      </c>
      <c r="AA365" s="44"/>
      <c r="AB365" s="65"/>
    </row>
    <row r="366" spans="1:28" ht="12.75" hidden="1" customHeight="1">
      <c r="A366" s="751">
        <v>3725</v>
      </c>
      <c r="B366" s="752" t="s">
        <v>35</v>
      </c>
      <c r="C366" s="751" t="s">
        <v>2960</v>
      </c>
      <c r="D366" s="752" t="s">
        <v>1660</v>
      </c>
      <c r="E366" s="752" t="s">
        <v>137</v>
      </c>
      <c r="F366" s="751">
        <v>7601</v>
      </c>
      <c r="G366" s="752" t="s">
        <v>91</v>
      </c>
      <c r="H366" s="752" t="s">
        <v>1245</v>
      </c>
      <c r="I366" s="752" t="s">
        <v>60</v>
      </c>
      <c r="J366" s="751">
        <v>22</v>
      </c>
      <c r="K366" s="751">
        <v>1</v>
      </c>
      <c r="L366" s="752" t="s">
        <v>36</v>
      </c>
      <c r="M366" s="752" t="s">
        <v>37</v>
      </c>
      <c r="N366" s="752" t="s">
        <v>38</v>
      </c>
      <c r="O366" s="752" t="s">
        <v>39</v>
      </c>
      <c r="P366" s="752" t="s">
        <v>1238</v>
      </c>
      <c r="Q366" s="753">
        <v>0</v>
      </c>
      <c r="R366" s="753">
        <v>0</v>
      </c>
      <c r="S366" s="753">
        <v>61989</v>
      </c>
      <c r="T366" s="753">
        <v>61989</v>
      </c>
      <c r="U366" s="753">
        <v>6962</v>
      </c>
      <c r="V366" s="751">
        <v>2019</v>
      </c>
      <c r="W366" s="222"/>
      <c r="X366" s="186"/>
      <c r="Y366" s="178" t="str">
        <f t="shared" si="16"/>
        <v/>
      </c>
      <c r="Z366" s="178" t="str">
        <f t="shared" si="17"/>
        <v/>
      </c>
      <c r="AA366" s="44"/>
      <c r="AB366" s="65"/>
    </row>
    <row r="367" spans="1:28" hidden="1">
      <c r="A367" s="751">
        <v>3728</v>
      </c>
      <c r="B367" s="752" t="s">
        <v>35</v>
      </c>
      <c r="C367" s="751" t="s">
        <v>2960</v>
      </c>
      <c r="D367" s="752" t="s">
        <v>742</v>
      </c>
      <c r="E367" s="752" t="s">
        <v>137</v>
      </c>
      <c r="F367" s="751">
        <v>7601</v>
      </c>
      <c r="G367" s="752" t="s">
        <v>91</v>
      </c>
      <c r="H367" s="752" t="s">
        <v>1245</v>
      </c>
      <c r="I367" s="752" t="s">
        <v>60</v>
      </c>
      <c r="J367" s="751">
        <v>22</v>
      </c>
      <c r="K367" s="751">
        <v>1</v>
      </c>
      <c r="L367" s="752" t="s">
        <v>36</v>
      </c>
      <c r="M367" s="752" t="s">
        <v>37</v>
      </c>
      <c r="N367" s="752" t="s">
        <v>38</v>
      </c>
      <c r="O367" s="752" t="s">
        <v>39</v>
      </c>
      <c r="P367" s="752" t="s">
        <v>1238</v>
      </c>
      <c r="Q367" s="753">
        <v>0</v>
      </c>
      <c r="R367" s="753">
        <v>0</v>
      </c>
      <c r="S367" s="753">
        <v>151786</v>
      </c>
      <c r="T367" s="753">
        <v>151786</v>
      </c>
      <c r="U367" s="753">
        <v>17047</v>
      </c>
      <c r="V367" s="751">
        <v>2019</v>
      </c>
      <c r="W367" s="222"/>
      <c r="X367" s="186"/>
      <c r="Y367" s="178" t="str">
        <f t="shared" si="16"/>
        <v/>
      </c>
      <c r="Z367" s="178" t="str">
        <f t="shared" si="17"/>
        <v/>
      </c>
      <c r="AA367" s="44"/>
      <c r="AB367" s="65"/>
    </row>
    <row r="368" spans="1:28" s="154" customFormat="1" hidden="1">
      <c r="A368" s="751">
        <v>3731</v>
      </c>
      <c r="B368" s="752" t="s">
        <v>35</v>
      </c>
      <c r="C368" s="751" t="s">
        <v>2960</v>
      </c>
      <c r="D368" s="752" t="s">
        <v>743</v>
      </c>
      <c r="E368" s="752" t="s">
        <v>744</v>
      </c>
      <c r="F368" s="751">
        <v>49852</v>
      </c>
      <c r="G368" s="752" t="s">
        <v>91</v>
      </c>
      <c r="H368" s="752" t="s">
        <v>1245</v>
      </c>
      <c r="I368" s="752" t="s">
        <v>60</v>
      </c>
      <c r="J368" s="751">
        <v>22</v>
      </c>
      <c r="K368" s="751">
        <v>2</v>
      </c>
      <c r="L368" s="752" t="s">
        <v>54</v>
      </c>
      <c r="M368" s="752" t="s">
        <v>37</v>
      </c>
      <c r="N368" s="752" t="s">
        <v>38</v>
      </c>
      <c r="O368" s="752" t="s">
        <v>39</v>
      </c>
      <c r="P368" s="752" t="s">
        <v>1238</v>
      </c>
      <c r="Q368" s="753">
        <v>0</v>
      </c>
      <c r="R368" s="753">
        <v>0</v>
      </c>
      <c r="S368" s="753">
        <v>158590</v>
      </c>
      <c r="T368" s="753">
        <v>158590</v>
      </c>
      <c r="U368" s="753">
        <v>17811</v>
      </c>
      <c r="V368" s="751">
        <v>2019</v>
      </c>
      <c r="W368" s="222"/>
      <c r="X368" s="186"/>
      <c r="Y368" s="178" t="str">
        <f t="shared" si="16"/>
        <v/>
      </c>
      <c r="Z368" s="178" t="str">
        <f t="shared" si="17"/>
        <v/>
      </c>
      <c r="AA368" s="44"/>
      <c r="AB368" s="179"/>
    </row>
    <row r="369" spans="1:28" s="154" customFormat="1" hidden="1">
      <c r="A369" s="751">
        <v>3734</v>
      </c>
      <c r="B369" s="752" t="s">
        <v>35</v>
      </c>
      <c r="C369" s="751" t="s">
        <v>2960</v>
      </c>
      <c r="D369" s="752" t="s">
        <v>580</v>
      </c>
      <c r="E369" s="752" t="s">
        <v>137</v>
      </c>
      <c r="F369" s="751">
        <v>7601</v>
      </c>
      <c r="G369" s="752" t="s">
        <v>91</v>
      </c>
      <c r="H369" s="752" t="s">
        <v>1245</v>
      </c>
      <c r="I369" s="752" t="s">
        <v>60</v>
      </c>
      <c r="J369" s="751">
        <v>22</v>
      </c>
      <c r="K369" s="751">
        <v>1</v>
      </c>
      <c r="L369" s="752" t="s">
        <v>36</v>
      </c>
      <c r="M369" s="752" t="s">
        <v>52</v>
      </c>
      <c r="N369" s="752" t="s">
        <v>48</v>
      </c>
      <c r="O369" s="752" t="s">
        <v>48</v>
      </c>
      <c r="P369" s="752" t="s">
        <v>49</v>
      </c>
      <c r="Q369" s="753">
        <v>0</v>
      </c>
      <c r="R369" s="753">
        <v>0</v>
      </c>
      <c r="S369" s="753">
        <v>0</v>
      </c>
      <c r="T369" s="753">
        <v>0</v>
      </c>
      <c r="U369" s="753">
        <v>0</v>
      </c>
      <c r="V369" s="751">
        <v>2019</v>
      </c>
      <c r="W369" s="222" t="s">
        <v>2666</v>
      </c>
      <c r="X369" s="186"/>
      <c r="Y369" s="178" t="str">
        <f t="shared" si="16"/>
        <v/>
      </c>
      <c r="Z369" s="178" t="str">
        <f t="shared" si="17"/>
        <v/>
      </c>
      <c r="AA369" s="44"/>
      <c r="AB369" s="179"/>
    </row>
    <row r="370" spans="1:28" hidden="1">
      <c r="A370" s="751">
        <v>3734</v>
      </c>
      <c r="B370" s="752" t="s">
        <v>35</v>
      </c>
      <c r="C370" s="751" t="s">
        <v>2960</v>
      </c>
      <c r="D370" s="752" t="s">
        <v>580</v>
      </c>
      <c r="E370" s="752" t="s">
        <v>137</v>
      </c>
      <c r="F370" s="751">
        <v>7601</v>
      </c>
      <c r="G370" s="752" t="s">
        <v>91</v>
      </c>
      <c r="H370" s="752" t="s">
        <v>1245</v>
      </c>
      <c r="I370" s="752" t="s">
        <v>60</v>
      </c>
      <c r="J370" s="751">
        <v>22</v>
      </c>
      <c r="K370" s="751">
        <v>1</v>
      </c>
      <c r="L370" s="752" t="s">
        <v>36</v>
      </c>
      <c r="M370" s="752" t="s">
        <v>52</v>
      </c>
      <c r="N370" s="752" t="s">
        <v>68</v>
      </c>
      <c r="O370" s="752" t="s">
        <v>69</v>
      </c>
      <c r="P370" s="752" t="s">
        <v>49</v>
      </c>
      <c r="Q370" s="753">
        <v>0</v>
      </c>
      <c r="R370" s="753">
        <v>0</v>
      </c>
      <c r="S370" s="753">
        <v>0</v>
      </c>
      <c r="T370" s="753">
        <v>0</v>
      </c>
      <c r="U370" s="753">
        <v>0</v>
      </c>
      <c r="V370" s="751">
        <v>2019</v>
      </c>
      <c r="W370" s="222" t="s">
        <v>2666</v>
      </c>
      <c r="X370" s="186"/>
      <c r="Y370" s="178" t="str">
        <f t="shared" si="16"/>
        <v/>
      </c>
      <c r="Z370" s="178" t="str">
        <f t="shared" si="17"/>
        <v/>
      </c>
      <c r="AA370" s="44"/>
      <c r="AB370" s="65"/>
    </row>
    <row r="371" spans="1:28" hidden="1">
      <c r="A371" s="751">
        <v>3734</v>
      </c>
      <c r="B371" s="752" t="s">
        <v>35</v>
      </c>
      <c r="C371" s="751" t="s">
        <v>2960</v>
      </c>
      <c r="D371" s="752" t="s">
        <v>580</v>
      </c>
      <c r="E371" s="752" t="s">
        <v>137</v>
      </c>
      <c r="F371" s="751">
        <v>7601</v>
      </c>
      <c r="G371" s="752" t="s">
        <v>91</v>
      </c>
      <c r="H371" s="752" t="s">
        <v>1245</v>
      </c>
      <c r="I371" s="752" t="s">
        <v>60</v>
      </c>
      <c r="J371" s="751">
        <v>22</v>
      </c>
      <c r="K371" s="751">
        <v>1</v>
      </c>
      <c r="L371" s="752" t="s">
        <v>36</v>
      </c>
      <c r="M371" s="752" t="s">
        <v>52</v>
      </c>
      <c r="N371" s="752" t="s">
        <v>78</v>
      </c>
      <c r="O371" s="752" t="s">
        <v>69</v>
      </c>
      <c r="P371" s="752" t="s">
        <v>49</v>
      </c>
      <c r="Q371" s="753">
        <v>706</v>
      </c>
      <c r="R371" s="753">
        <v>706</v>
      </c>
      <c r="S371" s="753">
        <v>4095</v>
      </c>
      <c r="T371" s="753">
        <v>4095</v>
      </c>
      <c r="U371" s="753">
        <v>270</v>
      </c>
      <c r="V371" s="751">
        <v>2019</v>
      </c>
      <c r="W371" s="222" t="s">
        <v>2666</v>
      </c>
      <c r="X371" s="186">
        <f>IF(OR(K371&gt;3,T371=0,NOT(U371&gt;0)),"",T371/U371)</f>
        <v>15.166666666666666</v>
      </c>
      <c r="Y371" s="178" t="str">
        <f t="shared" si="16"/>
        <v/>
      </c>
      <c r="Z371" s="178" t="str">
        <f t="shared" si="17"/>
        <v/>
      </c>
      <c r="AA371" s="44"/>
      <c r="AB371" s="65"/>
    </row>
    <row r="372" spans="1:28" hidden="1">
      <c r="A372" s="751">
        <v>3735</v>
      </c>
      <c r="B372" s="752" t="s">
        <v>35</v>
      </c>
      <c r="C372" s="751" t="s">
        <v>2960</v>
      </c>
      <c r="D372" s="752" t="s">
        <v>745</v>
      </c>
      <c r="E372" s="752" t="s">
        <v>137</v>
      </c>
      <c r="F372" s="751">
        <v>7601</v>
      </c>
      <c r="G372" s="752" t="s">
        <v>91</v>
      </c>
      <c r="H372" s="752" t="s">
        <v>1245</v>
      </c>
      <c r="I372" s="752" t="s">
        <v>60</v>
      </c>
      <c r="J372" s="751">
        <v>22</v>
      </c>
      <c r="K372" s="751">
        <v>1</v>
      </c>
      <c r="L372" s="752" t="s">
        <v>36</v>
      </c>
      <c r="M372" s="752" t="s">
        <v>52</v>
      </c>
      <c r="N372" s="752" t="s">
        <v>48</v>
      </c>
      <c r="O372" s="752" t="s">
        <v>48</v>
      </c>
      <c r="P372" s="752" t="s">
        <v>49</v>
      </c>
      <c r="Q372" s="753">
        <v>504</v>
      </c>
      <c r="R372" s="753">
        <v>504</v>
      </c>
      <c r="S372" s="753">
        <v>2923</v>
      </c>
      <c r="T372" s="753">
        <v>2923</v>
      </c>
      <c r="U372" s="753">
        <v>91</v>
      </c>
      <c r="V372" s="751">
        <v>2019</v>
      </c>
      <c r="W372" s="222"/>
      <c r="X372" s="186"/>
      <c r="Y372" s="178" t="str">
        <f t="shared" si="16"/>
        <v/>
      </c>
      <c r="Z372" s="178" t="str">
        <f t="shared" si="17"/>
        <v/>
      </c>
      <c r="AA372" s="44"/>
      <c r="AB372" s="65"/>
    </row>
    <row r="373" spans="1:28" hidden="1">
      <c r="A373" s="751">
        <v>3737</v>
      </c>
      <c r="B373" s="752" t="s">
        <v>35</v>
      </c>
      <c r="C373" s="751" t="s">
        <v>2960</v>
      </c>
      <c r="D373" s="752" t="s">
        <v>138</v>
      </c>
      <c r="E373" s="752" t="s">
        <v>137</v>
      </c>
      <c r="F373" s="751">
        <v>7601</v>
      </c>
      <c r="G373" s="752" t="s">
        <v>91</v>
      </c>
      <c r="H373" s="752" t="s">
        <v>1245</v>
      </c>
      <c r="I373" s="752" t="s">
        <v>60</v>
      </c>
      <c r="J373" s="751">
        <v>22</v>
      </c>
      <c r="K373" s="751">
        <v>1</v>
      </c>
      <c r="L373" s="752" t="s">
        <v>36</v>
      </c>
      <c r="M373" s="752" t="s">
        <v>37</v>
      </c>
      <c r="N373" s="752" t="s">
        <v>38</v>
      </c>
      <c r="O373" s="752" t="s">
        <v>39</v>
      </c>
      <c r="P373" s="752" t="s">
        <v>1238</v>
      </c>
      <c r="Q373" s="753">
        <v>0</v>
      </c>
      <c r="R373" s="753">
        <v>0</v>
      </c>
      <c r="S373" s="753">
        <v>391403</v>
      </c>
      <c r="T373" s="753">
        <v>391403</v>
      </c>
      <c r="U373" s="753">
        <v>43958</v>
      </c>
      <c r="V373" s="751">
        <v>2019</v>
      </c>
      <c r="W373" s="222"/>
      <c r="X373" s="186"/>
      <c r="Y373" s="178" t="str">
        <f t="shared" si="16"/>
        <v/>
      </c>
      <c r="Z373" s="178" t="str">
        <f t="shared" si="17"/>
        <v/>
      </c>
      <c r="AA373" s="44"/>
      <c r="AB373" s="65"/>
    </row>
    <row r="374" spans="1:28" hidden="1">
      <c r="A374" s="751">
        <v>3737</v>
      </c>
      <c r="B374" s="752" t="s">
        <v>35</v>
      </c>
      <c r="C374" s="751" t="s">
        <v>2960</v>
      </c>
      <c r="D374" s="752" t="s">
        <v>138</v>
      </c>
      <c r="E374" s="752" t="s">
        <v>137</v>
      </c>
      <c r="F374" s="751">
        <v>7601</v>
      </c>
      <c r="G374" s="752" t="s">
        <v>91</v>
      </c>
      <c r="H374" s="752" t="s">
        <v>1245</v>
      </c>
      <c r="I374" s="752" t="s">
        <v>60</v>
      </c>
      <c r="J374" s="751">
        <v>22</v>
      </c>
      <c r="K374" s="751">
        <v>1</v>
      </c>
      <c r="L374" s="752" t="s">
        <v>36</v>
      </c>
      <c r="M374" s="752" t="s">
        <v>53</v>
      </c>
      <c r="N374" s="752" t="s">
        <v>48</v>
      </c>
      <c r="O374" s="752" t="s">
        <v>48</v>
      </c>
      <c r="P374" s="752" t="s">
        <v>49</v>
      </c>
      <c r="Q374" s="753">
        <v>62</v>
      </c>
      <c r="R374" s="753">
        <v>62</v>
      </c>
      <c r="S374" s="753">
        <v>360</v>
      </c>
      <c r="T374" s="753">
        <v>360</v>
      </c>
      <c r="U374" s="753">
        <v>35</v>
      </c>
      <c r="V374" s="751">
        <v>2019</v>
      </c>
      <c r="W374" s="222"/>
      <c r="X374" s="186"/>
      <c r="Y374" s="178" t="str">
        <f t="shared" si="16"/>
        <v/>
      </c>
      <c r="Z374" s="178" t="str">
        <f t="shared" si="17"/>
        <v/>
      </c>
      <c r="AA374" s="44"/>
      <c r="AB374" s="65"/>
    </row>
    <row r="375" spans="1:28" hidden="1">
      <c r="A375" s="751">
        <v>3739</v>
      </c>
      <c r="B375" s="752" t="s">
        <v>35</v>
      </c>
      <c r="C375" s="751" t="s">
        <v>2960</v>
      </c>
      <c r="D375" s="752" t="s">
        <v>746</v>
      </c>
      <c r="E375" s="752" t="s">
        <v>137</v>
      </c>
      <c r="F375" s="751">
        <v>7601</v>
      </c>
      <c r="G375" s="752" t="s">
        <v>91</v>
      </c>
      <c r="H375" s="752" t="s">
        <v>1245</v>
      </c>
      <c r="I375" s="752" t="s">
        <v>60</v>
      </c>
      <c r="J375" s="751">
        <v>22</v>
      </c>
      <c r="K375" s="751">
        <v>1</v>
      </c>
      <c r="L375" s="752" t="s">
        <v>36</v>
      </c>
      <c r="M375" s="752" t="s">
        <v>37</v>
      </c>
      <c r="N375" s="752" t="s">
        <v>38</v>
      </c>
      <c r="O375" s="752" t="s">
        <v>39</v>
      </c>
      <c r="P375" s="752" t="s">
        <v>1238</v>
      </c>
      <c r="Q375" s="753">
        <v>0</v>
      </c>
      <c r="R375" s="753">
        <v>0</v>
      </c>
      <c r="S375" s="753">
        <v>100918</v>
      </c>
      <c r="T375" s="753">
        <v>100918</v>
      </c>
      <c r="U375" s="753">
        <v>11334</v>
      </c>
      <c r="V375" s="751">
        <v>2019</v>
      </c>
      <c r="W375" s="222"/>
      <c r="X375" s="186"/>
      <c r="Y375" s="178" t="str">
        <f t="shared" si="16"/>
        <v/>
      </c>
      <c r="Z375" s="178" t="str">
        <f t="shared" si="17"/>
        <v/>
      </c>
      <c r="AA375" s="44"/>
      <c r="AB375" s="65"/>
    </row>
    <row r="376" spans="1:28" hidden="1">
      <c r="A376" s="751">
        <v>3740</v>
      </c>
      <c r="B376" s="752" t="s">
        <v>35</v>
      </c>
      <c r="C376" s="751" t="s">
        <v>2960</v>
      </c>
      <c r="D376" s="752" t="s">
        <v>747</v>
      </c>
      <c r="E376" s="752" t="s">
        <v>137</v>
      </c>
      <c r="F376" s="751">
        <v>7601</v>
      </c>
      <c r="G376" s="752" t="s">
        <v>91</v>
      </c>
      <c r="H376" s="752" t="s">
        <v>1245</v>
      </c>
      <c r="I376" s="752" t="s">
        <v>60</v>
      </c>
      <c r="J376" s="751">
        <v>22</v>
      </c>
      <c r="K376" s="751">
        <v>1</v>
      </c>
      <c r="L376" s="752" t="s">
        <v>36</v>
      </c>
      <c r="M376" s="752" t="s">
        <v>37</v>
      </c>
      <c r="N376" s="752" t="s">
        <v>38</v>
      </c>
      <c r="O376" s="752" t="s">
        <v>39</v>
      </c>
      <c r="P376" s="752" t="s">
        <v>1238</v>
      </c>
      <c r="Q376" s="753">
        <v>0</v>
      </c>
      <c r="R376" s="753">
        <v>0</v>
      </c>
      <c r="S376" s="753">
        <v>107284</v>
      </c>
      <c r="T376" s="753">
        <v>107284</v>
      </c>
      <c r="U376" s="753">
        <v>12049</v>
      </c>
      <c r="V376" s="751">
        <v>2019</v>
      </c>
      <c r="W376" s="222"/>
      <c r="X376" s="186"/>
      <c r="Y376" s="178" t="str">
        <f t="shared" si="16"/>
        <v/>
      </c>
      <c r="Z376" s="178" t="str">
        <f t="shared" si="17"/>
        <v/>
      </c>
      <c r="AA376" s="44"/>
      <c r="AB376" s="65"/>
    </row>
    <row r="377" spans="1:28" hidden="1">
      <c r="A377" s="751">
        <v>3743</v>
      </c>
      <c r="B377" s="752" t="s">
        <v>35</v>
      </c>
      <c r="C377" s="751" t="s">
        <v>2960</v>
      </c>
      <c r="D377" s="752" t="s">
        <v>748</v>
      </c>
      <c r="E377" s="752" t="s">
        <v>137</v>
      </c>
      <c r="F377" s="751">
        <v>7601</v>
      </c>
      <c r="G377" s="752" t="s">
        <v>91</v>
      </c>
      <c r="H377" s="752" t="s">
        <v>1245</v>
      </c>
      <c r="I377" s="752" t="s">
        <v>60</v>
      </c>
      <c r="J377" s="751">
        <v>22</v>
      </c>
      <c r="K377" s="751">
        <v>1</v>
      </c>
      <c r="L377" s="752" t="s">
        <v>36</v>
      </c>
      <c r="M377" s="752" t="s">
        <v>37</v>
      </c>
      <c r="N377" s="752" t="s">
        <v>38</v>
      </c>
      <c r="O377" s="752" t="s">
        <v>39</v>
      </c>
      <c r="P377" s="752" t="s">
        <v>1238</v>
      </c>
      <c r="Q377" s="753">
        <v>0</v>
      </c>
      <c r="R377" s="753">
        <v>0</v>
      </c>
      <c r="S377" s="753">
        <v>32509</v>
      </c>
      <c r="T377" s="753">
        <v>32509</v>
      </c>
      <c r="U377" s="753">
        <v>3651</v>
      </c>
      <c r="V377" s="751">
        <v>2019</v>
      </c>
      <c r="W377" s="222"/>
      <c r="X377" s="186"/>
      <c r="Y377" s="178" t="str">
        <f t="shared" si="16"/>
        <v/>
      </c>
      <c r="Z377" s="178" t="str">
        <f t="shared" si="17"/>
        <v/>
      </c>
      <c r="AA377" s="44"/>
      <c r="AB377" s="65"/>
    </row>
    <row r="378" spans="1:28" hidden="1">
      <c r="A378" s="751">
        <v>3745</v>
      </c>
      <c r="B378" s="752" t="s">
        <v>35</v>
      </c>
      <c r="C378" s="751" t="s">
        <v>2960</v>
      </c>
      <c r="D378" s="752" t="s">
        <v>749</v>
      </c>
      <c r="E378" s="752" t="s">
        <v>2248</v>
      </c>
      <c r="F378" s="751">
        <v>61122</v>
      </c>
      <c r="G378" s="752" t="s">
        <v>91</v>
      </c>
      <c r="H378" s="752" t="s">
        <v>1245</v>
      </c>
      <c r="I378" s="752" t="s">
        <v>60</v>
      </c>
      <c r="J378" s="751">
        <v>22</v>
      </c>
      <c r="K378" s="751">
        <v>2</v>
      </c>
      <c r="L378" s="752" t="s">
        <v>54</v>
      </c>
      <c r="M378" s="752" t="s">
        <v>37</v>
      </c>
      <c r="N378" s="752" t="s">
        <v>38</v>
      </c>
      <c r="O378" s="752" t="s">
        <v>39</v>
      </c>
      <c r="P378" s="752" t="s">
        <v>1238</v>
      </c>
      <c r="Q378" s="753">
        <v>0</v>
      </c>
      <c r="R378" s="753">
        <v>0</v>
      </c>
      <c r="S378" s="753">
        <v>2270911</v>
      </c>
      <c r="T378" s="753">
        <v>2270911</v>
      </c>
      <c r="U378" s="753">
        <v>255044</v>
      </c>
      <c r="V378" s="751">
        <v>2019</v>
      </c>
      <c r="W378" s="222"/>
      <c r="X378" s="186"/>
      <c r="Y378" s="178" t="str">
        <f t="shared" si="16"/>
        <v/>
      </c>
      <c r="Z378" s="178" t="str">
        <f t="shared" si="17"/>
        <v/>
      </c>
      <c r="AA378" s="44"/>
      <c r="AB378" s="65"/>
    </row>
    <row r="379" spans="1:28" hidden="1">
      <c r="A379" s="751">
        <v>3746</v>
      </c>
      <c r="B379" s="752" t="s">
        <v>35</v>
      </c>
      <c r="C379" s="751" t="s">
        <v>2960</v>
      </c>
      <c r="D379" s="752" t="s">
        <v>750</v>
      </c>
      <c r="E379" s="752" t="s">
        <v>2248</v>
      </c>
      <c r="F379" s="751">
        <v>61122</v>
      </c>
      <c r="G379" s="752" t="s">
        <v>91</v>
      </c>
      <c r="H379" s="752" t="s">
        <v>1245</v>
      </c>
      <c r="I379" s="752" t="s">
        <v>60</v>
      </c>
      <c r="J379" s="751">
        <v>22</v>
      </c>
      <c r="K379" s="751">
        <v>2</v>
      </c>
      <c r="L379" s="752" t="s">
        <v>54</v>
      </c>
      <c r="M379" s="752" t="s">
        <v>37</v>
      </c>
      <c r="N379" s="752" t="s">
        <v>38</v>
      </c>
      <c r="O379" s="752" t="s">
        <v>39</v>
      </c>
      <c r="P379" s="752" t="s">
        <v>1238</v>
      </c>
      <c r="Q379" s="753">
        <v>0</v>
      </c>
      <c r="R379" s="753">
        <v>0</v>
      </c>
      <c r="S379" s="753">
        <v>923007</v>
      </c>
      <c r="T379" s="753">
        <v>923007</v>
      </c>
      <c r="U379" s="753">
        <v>103662</v>
      </c>
      <c r="V379" s="751">
        <v>2019</v>
      </c>
      <c r="W379" s="222"/>
      <c r="X379" s="186"/>
      <c r="Y379" s="178" t="str">
        <f t="shared" si="16"/>
        <v/>
      </c>
      <c r="Z379" s="178" t="str">
        <f t="shared" si="17"/>
        <v/>
      </c>
      <c r="AA379" s="44"/>
      <c r="AB379" s="65"/>
    </row>
    <row r="380" spans="1:28" hidden="1">
      <c r="A380" s="751">
        <v>3750</v>
      </c>
      <c r="B380" s="752" t="s">
        <v>35</v>
      </c>
      <c r="C380" s="751" t="s">
        <v>2960</v>
      </c>
      <c r="D380" s="752" t="s">
        <v>751</v>
      </c>
      <c r="E380" s="752" t="s">
        <v>2453</v>
      </c>
      <c r="F380" s="751">
        <v>62775</v>
      </c>
      <c r="G380" s="752" t="s">
        <v>91</v>
      </c>
      <c r="H380" s="752" t="s">
        <v>1245</v>
      </c>
      <c r="I380" s="752" t="s">
        <v>60</v>
      </c>
      <c r="J380" s="751">
        <v>22</v>
      </c>
      <c r="K380" s="751">
        <v>1</v>
      </c>
      <c r="L380" s="752" t="s">
        <v>36</v>
      </c>
      <c r="M380" s="752" t="s">
        <v>37</v>
      </c>
      <c r="N380" s="752" t="s">
        <v>38</v>
      </c>
      <c r="O380" s="752" t="s">
        <v>39</v>
      </c>
      <c r="P380" s="752" t="s">
        <v>1238</v>
      </c>
      <c r="Q380" s="753">
        <v>0</v>
      </c>
      <c r="R380" s="753">
        <v>0</v>
      </c>
      <c r="S380" s="753">
        <v>54369</v>
      </c>
      <c r="T380" s="753">
        <v>54369</v>
      </c>
      <c r="U380" s="753">
        <v>6106</v>
      </c>
      <c r="V380" s="751">
        <v>2019</v>
      </c>
      <c r="W380" s="222"/>
      <c r="X380" s="186"/>
      <c r="Y380" s="178" t="str">
        <f t="shared" si="16"/>
        <v/>
      </c>
      <c r="Z380" s="178" t="str">
        <f t="shared" si="17"/>
        <v/>
      </c>
      <c r="AA380" s="44"/>
      <c r="AB380" s="65"/>
    </row>
    <row r="381" spans="1:28" hidden="1">
      <c r="A381" s="751">
        <v>3753</v>
      </c>
      <c r="B381" s="752" t="s">
        <v>35</v>
      </c>
      <c r="C381" s="751" t="s">
        <v>2960</v>
      </c>
      <c r="D381" s="752" t="s">
        <v>752</v>
      </c>
      <c r="E381" s="752" t="s">
        <v>753</v>
      </c>
      <c r="F381" s="751">
        <v>1299</v>
      </c>
      <c r="G381" s="752" t="s">
        <v>91</v>
      </c>
      <c r="H381" s="752" t="s">
        <v>1245</v>
      </c>
      <c r="I381" s="752" t="s">
        <v>60</v>
      </c>
      <c r="J381" s="751">
        <v>22</v>
      </c>
      <c r="K381" s="751">
        <v>1</v>
      </c>
      <c r="L381" s="752" t="s">
        <v>36</v>
      </c>
      <c r="M381" s="752" t="s">
        <v>37</v>
      </c>
      <c r="N381" s="752" t="s">
        <v>38</v>
      </c>
      <c r="O381" s="752" t="s">
        <v>39</v>
      </c>
      <c r="P381" s="752" t="s">
        <v>1238</v>
      </c>
      <c r="Q381" s="753">
        <v>0</v>
      </c>
      <c r="R381" s="753">
        <v>0</v>
      </c>
      <c r="S381" s="753">
        <v>36667</v>
      </c>
      <c r="T381" s="753">
        <v>36667</v>
      </c>
      <c r="U381" s="753">
        <v>4118</v>
      </c>
      <c r="V381" s="751">
        <v>2019</v>
      </c>
      <c r="W381" s="222"/>
      <c r="X381" s="186"/>
      <c r="Y381" s="178" t="str">
        <f t="shared" si="16"/>
        <v/>
      </c>
      <c r="Z381" s="178" t="str">
        <f t="shared" si="17"/>
        <v/>
      </c>
      <c r="AA381" s="44"/>
      <c r="AB381" s="65"/>
    </row>
    <row r="382" spans="1:28" hidden="1">
      <c r="A382" s="751">
        <v>3753</v>
      </c>
      <c r="B382" s="752" t="s">
        <v>35</v>
      </c>
      <c r="C382" s="751" t="s">
        <v>2960</v>
      </c>
      <c r="D382" s="752" t="s">
        <v>752</v>
      </c>
      <c r="E382" s="752" t="s">
        <v>753</v>
      </c>
      <c r="F382" s="751">
        <v>1299</v>
      </c>
      <c r="G382" s="752" t="s">
        <v>91</v>
      </c>
      <c r="H382" s="752" t="s">
        <v>1245</v>
      </c>
      <c r="I382" s="752" t="s">
        <v>60</v>
      </c>
      <c r="J382" s="751">
        <v>22</v>
      </c>
      <c r="K382" s="751">
        <v>1</v>
      </c>
      <c r="L382" s="752" t="s">
        <v>36</v>
      </c>
      <c r="M382" s="752" t="s">
        <v>44</v>
      </c>
      <c r="N382" s="752" t="s">
        <v>48</v>
      </c>
      <c r="O382" s="752" t="s">
        <v>48</v>
      </c>
      <c r="P382" s="752" t="s">
        <v>49</v>
      </c>
      <c r="Q382" s="753">
        <v>0</v>
      </c>
      <c r="R382" s="753">
        <v>0</v>
      </c>
      <c r="S382" s="753">
        <v>0</v>
      </c>
      <c r="T382" s="753">
        <v>0</v>
      </c>
      <c r="U382" s="753">
        <v>0</v>
      </c>
      <c r="V382" s="751">
        <v>2019</v>
      </c>
      <c r="W382" s="222"/>
      <c r="X382" s="186"/>
      <c r="Y382" s="178" t="str">
        <f t="shared" si="16"/>
        <v/>
      </c>
      <c r="Z382" s="178" t="str">
        <f t="shared" si="17"/>
        <v/>
      </c>
      <c r="AA382" s="44"/>
      <c r="AB382" s="65"/>
    </row>
    <row r="383" spans="1:28" hidden="1">
      <c r="A383" s="751">
        <v>3754</v>
      </c>
      <c r="B383" s="752" t="s">
        <v>35</v>
      </c>
      <c r="C383" s="751" t="s">
        <v>2960</v>
      </c>
      <c r="D383" s="752" t="s">
        <v>754</v>
      </c>
      <c r="E383" s="752" t="s">
        <v>1156</v>
      </c>
      <c r="F383" s="751">
        <v>2548</v>
      </c>
      <c r="G383" s="752" t="s">
        <v>91</v>
      </c>
      <c r="H383" s="752" t="s">
        <v>1245</v>
      </c>
      <c r="I383" s="752" t="s">
        <v>60</v>
      </c>
      <c r="J383" s="751">
        <v>22</v>
      </c>
      <c r="K383" s="751">
        <v>1</v>
      </c>
      <c r="L383" s="752" t="s">
        <v>36</v>
      </c>
      <c r="M383" s="752" t="s">
        <v>52</v>
      </c>
      <c r="N383" s="752" t="s">
        <v>48</v>
      </c>
      <c r="O383" s="752" t="s">
        <v>48</v>
      </c>
      <c r="P383" s="752" t="s">
        <v>49</v>
      </c>
      <c r="Q383" s="753">
        <v>263</v>
      </c>
      <c r="R383" s="753">
        <v>263</v>
      </c>
      <c r="S383" s="753">
        <v>1507</v>
      </c>
      <c r="T383" s="753">
        <v>1507</v>
      </c>
      <c r="U383" s="753">
        <v>80</v>
      </c>
      <c r="V383" s="751">
        <v>2019</v>
      </c>
      <c r="W383" s="222" t="s">
        <v>2666</v>
      </c>
      <c r="X383" s="186"/>
      <c r="Y383" s="178" t="str">
        <f t="shared" si="16"/>
        <v/>
      </c>
      <c r="Z383" s="178" t="str">
        <f t="shared" si="17"/>
        <v/>
      </c>
      <c r="AA383" s="44"/>
      <c r="AB383" s="65"/>
    </row>
    <row r="384" spans="1:28" hidden="1">
      <c r="A384" s="751">
        <v>3754</v>
      </c>
      <c r="B384" s="752" t="s">
        <v>35</v>
      </c>
      <c r="C384" s="751" t="s">
        <v>2960</v>
      </c>
      <c r="D384" s="752" t="s">
        <v>754</v>
      </c>
      <c r="E384" s="752" t="s">
        <v>1156</v>
      </c>
      <c r="F384" s="751">
        <v>2548</v>
      </c>
      <c r="G384" s="752" t="s">
        <v>91</v>
      </c>
      <c r="H384" s="752" t="s">
        <v>1245</v>
      </c>
      <c r="I384" s="752" t="s">
        <v>60</v>
      </c>
      <c r="J384" s="751">
        <v>22</v>
      </c>
      <c r="K384" s="751">
        <v>1</v>
      </c>
      <c r="L384" s="752" t="s">
        <v>36</v>
      </c>
      <c r="M384" s="752" t="s">
        <v>52</v>
      </c>
      <c r="N384" s="752" t="s">
        <v>63</v>
      </c>
      <c r="O384" s="752" t="s">
        <v>63</v>
      </c>
      <c r="P384" s="752" t="s">
        <v>49</v>
      </c>
      <c r="Q384" s="753">
        <v>0</v>
      </c>
      <c r="R384" s="753">
        <v>0</v>
      </c>
      <c r="S384" s="753">
        <v>0</v>
      </c>
      <c r="T384" s="753">
        <v>0</v>
      </c>
      <c r="U384" s="753">
        <v>0</v>
      </c>
      <c r="V384" s="751">
        <v>2019</v>
      </c>
      <c r="W384" s="222" t="s">
        <v>2666</v>
      </c>
      <c r="X384" s="186"/>
      <c r="Y384" s="178" t="str">
        <f t="shared" si="16"/>
        <v/>
      </c>
      <c r="Z384" s="178" t="str">
        <f t="shared" si="17"/>
        <v/>
      </c>
      <c r="AA384" s="44"/>
      <c r="AB384" s="65"/>
    </row>
    <row r="385" spans="1:28" hidden="1">
      <c r="A385" s="751">
        <v>3762</v>
      </c>
      <c r="B385" s="752" t="s">
        <v>35</v>
      </c>
      <c r="C385" s="751" t="s">
        <v>2960</v>
      </c>
      <c r="D385" s="752" t="s">
        <v>1661</v>
      </c>
      <c r="E385" s="752" t="s">
        <v>1098</v>
      </c>
      <c r="F385" s="751">
        <v>11359</v>
      </c>
      <c r="G385" s="752" t="s">
        <v>91</v>
      </c>
      <c r="H385" s="752" t="s">
        <v>1245</v>
      </c>
      <c r="I385" s="752" t="s">
        <v>60</v>
      </c>
      <c r="J385" s="751">
        <v>22</v>
      </c>
      <c r="K385" s="751">
        <v>1</v>
      </c>
      <c r="L385" s="752" t="s">
        <v>36</v>
      </c>
      <c r="M385" s="752" t="s">
        <v>37</v>
      </c>
      <c r="N385" s="752" t="s">
        <v>38</v>
      </c>
      <c r="O385" s="752" t="s">
        <v>39</v>
      </c>
      <c r="P385" s="752" t="s">
        <v>1238</v>
      </c>
      <c r="Q385" s="753">
        <v>0</v>
      </c>
      <c r="R385" s="753">
        <v>0</v>
      </c>
      <c r="S385" s="753">
        <v>16882</v>
      </c>
      <c r="T385" s="753">
        <v>16882</v>
      </c>
      <c r="U385" s="753">
        <v>1896</v>
      </c>
      <c r="V385" s="751">
        <v>2019</v>
      </c>
      <c r="W385" s="222"/>
      <c r="X385" s="186"/>
      <c r="Y385" s="178" t="str">
        <f t="shared" si="16"/>
        <v/>
      </c>
      <c r="Z385" s="178" t="str">
        <f t="shared" si="17"/>
        <v/>
      </c>
      <c r="AA385" s="44"/>
      <c r="AB385" s="65"/>
    </row>
    <row r="386" spans="1:28" hidden="1">
      <c r="A386" s="751">
        <v>3764</v>
      </c>
      <c r="B386" s="752" t="s">
        <v>35</v>
      </c>
      <c r="C386" s="751" t="s">
        <v>2960</v>
      </c>
      <c r="D386" s="752" t="s">
        <v>755</v>
      </c>
      <c r="E386" s="752" t="s">
        <v>1636</v>
      </c>
      <c r="F386" s="751">
        <v>12989</v>
      </c>
      <c r="G386" s="752" t="s">
        <v>91</v>
      </c>
      <c r="H386" s="752" t="s">
        <v>1245</v>
      </c>
      <c r="I386" s="752" t="s">
        <v>60</v>
      </c>
      <c r="J386" s="751">
        <v>22</v>
      </c>
      <c r="K386" s="751">
        <v>1</v>
      </c>
      <c r="L386" s="752" t="s">
        <v>36</v>
      </c>
      <c r="M386" s="752" t="s">
        <v>37</v>
      </c>
      <c r="N386" s="752" t="s">
        <v>38</v>
      </c>
      <c r="O386" s="752" t="s">
        <v>39</v>
      </c>
      <c r="P386" s="752" t="s">
        <v>1238</v>
      </c>
      <c r="Q386" s="753">
        <v>0</v>
      </c>
      <c r="R386" s="753">
        <v>0</v>
      </c>
      <c r="S386" s="753">
        <v>32473</v>
      </c>
      <c r="T386" s="753">
        <v>32473</v>
      </c>
      <c r="U386" s="753">
        <v>3647</v>
      </c>
      <c r="V386" s="751">
        <v>2019</v>
      </c>
      <c r="W386" s="222"/>
      <c r="X386" s="186"/>
      <c r="Y386" s="178" t="str">
        <f t="shared" si="16"/>
        <v/>
      </c>
      <c r="Z386" s="178" t="str">
        <f t="shared" si="17"/>
        <v/>
      </c>
      <c r="AA386" s="44"/>
      <c r="AB386" s="65"/>
    </row>
    <row r="387" spans="1:28" hidden="1">
      <c r="A387" s="751">
        <v>3765</v>
      </c>
      <c r="B387" s="752" t="s">
        <v>35</v>
      </c>
      <c r="C387" s="751" t="s">
        <v>2960</v>
      </c>
      <c r="D387" s="752" t="s">
        <v>756</v>
      </c>
      <c r="E387" s="752" t="s">
        <v>1636</v>
      </c>
      <c r="F387" s="751">
        <v>12989</v>
      </c>
      <c r="G387" s="752" t="s">
        <v>91</v>
      </c>
      <c r="H387" s="752" t="s">
        <v>1245</v>
      </c>
      <c r="I387" s="752" t="s">
        <v>60</v>
      </c>
      <c r="J387" s="751">
        <v>22</v>
      </c>
      <c r="K387" s="751">
        <v>1</v>
      </c>
      <c r="L387" s="752" t="s">
        <v>36</v>
      </c>
      <c r="M387" s="752" t="s">
        <v>37</v>
      </c>
      <c r="N387" s="752" t="s">
        <v>38</v>
      </c>
      <c r="O387" s="752" t="s">
        <v>39</v>
      </c>
      <c r="P387" s="752" t="s">
        <v>1238</v>
      </c>
      <c r="Q387" s="753">
        <v>0</v>
      </c>
      <c r="R387" s="753">
        <v>0</v>
      </c>
      <c r="S387" s="753">
        <v>17122</v>
      </c>
      <c r="T387" s="753">
        <v>17122</v>
      </c>
      <c r="U387" s="753">
        <v>1923</v>
      </c>
      <c r="V387" s="751">
        <v>2019</v>
      </c>
      <c r="W387" s="222"/>
      <c r="X387" s="186"/>
      <c r="Y387" s="178" t="str">
        <f t="shared" si="16"/>
        <v/>
      </c>
      <c r="Z387" s="178" t="str">
        <f t="shared" si="17"/>
        <v/>
      </c>
      <c r="AA387" s="44"/>
      <c r="AB387" s="65"/>
    </row>
    <row r="388" spans="1:28" hidden="1">
      <c r="A388" s="751">
        <v>6012</v>
      </c>
      <c r="B388" s="752" t="s">
        <v>35</v>
      </c>
      <c r="C388" s="751" t="s">
        <v>2960</v>
      </c>
      <c r="D388" s="752" t="s">
        <v>757</v>
      </c>
      <c r="E388" s="752" t="s">
        <v>2248</v>
      </c>
      <c r="F388" s="751">
        <v>61122</v>
      </c>
      <c r="G388" s="752" t="s">
        <v>83</v>
      </c>
      <c r="H388" s="752" t="s">
        <v>1245</v>
      </c>
      <c r="I388" s="752" t="s">
        <v>60</v>
      </c>
      <c r="J388" s="751">
        <v>22</v>
      </c>
      <c r="K388" s="751">
        <v>2</v>
      </c>
      <c r="L388" s="752" t="s">
        <v>54</v>
      </c>
      <c r="M388" s="752" t="s">
        <v>37</v>
      </c>
      <c r="N388" s="752" t="s">
        <v>38</v>
      </c>
      <c r="O388" s="752" t="s">
        <v>39</v>
      </c>
      <c r="P388" s="752" t="s">
        <v>1238</v>
      </c>
      <c r="Q388" s="753">
        <v>0</v>
      </c>
      <c r="R388" s="753">
        <v>0</v>
      </c>
      <c r="S388" s="753">
        <v>269860</v>
      </c>
      <c r="T388" s="753">
        <v>269860</v>
      </c>
      <c r="U388" s="753">
        <v>30308</v>
      </c>
      <c r="V388" s="751">
        <v>2019</v>
      </c>
      <c r="W388" s="222"/>
      <c r="X388" s="186"/>
      <c r="Y388" s="178" t="str">
        <f t="shared" si="16"/>
        <v/>
      </c>
      <c r="Z388" s="178" t="str">
        <f t="shared" si="17"/>
        <v/>
      </c>
      <c r="AA388" s="44"/>
      <c r="AB388" s="65"/>
    </row>
    <row r="389" spans="1:28" hidden="1">
      <c r="A389" s="751">
        <v>6047</v>
      </c>
      <c r="B389" s="752" t="s">
        <v>35</v>
      </c>
      <c r="C389" s="751" t="s">
        <v>2960</v>
      </c>
      <c r="D389" s="752" t="s">
        <v>758</v>
      </c>
      <c r="E389" s="752" t="s">
        <v>2248</v>
      </c>
      <c r="F389" s="751">
        <v>61122</v>
      </c>
      <c r="G389" s="752" t="s">
        <v>83</v>
      </c>
      <c r="H389" s="752" t="s">
        <v>1245</v>
      </c>
      <c r="I389" s="752" t="s">
        <v>60</v>
      </c>
      <c r="J389" s="751">
        <v>22</v>
      </c>
      <c r="K389" s="751">
        <v>2</v>
      </c>
      <c r="L389" s="752" t="s">
        <v>54</v>
      </c>
      <c r="M389" s="752" t="s">
        <v>37</v>
      </c>
      <c r="N389" s="752" t="s">
        <v>38</v>
      </c>
      <c r="O389" s="752" t="s">
        <v>39</v>
      </c>
      <c r="P389" s="752" t="s">
        <v>1238</v>
      </c>
      <c r="Q389" s="753">
        <v>0</v>
      </c>
      <c r="R389" s="753">
        <v>0</v>
      </c>
      <c r="S389" s="753">
        <v>285713</v>
      </c>
      <c r="T389" s="753">
        <v>285713</v>
      </c>
      <c r="U389" s="753">
        <v>32088</v>
      </c>
      <c r="V389" s="751">
        <v>2019</v>
      </c>
      <c r="W389" s="222"/>
      <c r="X389" s="186"/>
      <c r="Y389" s="178" t="str">
        <f t="shared" si="16"/>
        <v/>
      </c>
      <c r="Z389" s="178" t="str">
        <f t="shared" si="17"/>
        <v/>
      </c>
      <c r="AA389" s="44"/>
      <c r="AB389" s="65"/>
    </row>
    <row r="390" spans="1:28" hidden="1">
      <c r="A390" s="751">
        <v>6049</v>
      </c>
      <c r="B390" s="752" t="s">
        <v>35</v>
      </c>
      <c r="C390" s="751" t="s">
        <v>2960</v>
      </c>
      <c r="D390" s="752" t="s">
        <v>759</v>
      </c>
      <c r="E390" s="752" t="s">
        <v>2450</v>
      </c>
      <c r="F390" s="751">
        <v>21461</v>
      </c>
      <c r="G390" s="752" t="s">
        <v>83</v>
      </c>
      <c r="H390" s="752" t="s">
        <v>1245</v>
      </c>
      <c r="I390" s="752" t="s">
        <v>60</v>
      </c>
      <c r="J390" s="751">
        <v>22</v>
      </c>
      <c r="K390" s="751">
        <v>2</v>
      </c>
      <c r="L390" s="752" t="s">
        <v>54</v>
      </c>
      <c r="M390" s="752" t="s">
        <v>53</v>
      </c>
      <c r="N390" s="752" t="s">
        <v>48</v>
      </c>
      <c r="O390" s="752" t="s">
        <v>48</v>
      </c>
      <c r="P390" s="752" t="s">
        <v>49</v>
      </c>
      <c r="Q390" s="753">
        <v>1018</v>
      </c>
      <c r="R390" s="753">
        <v>1018</v>
      </c>
      <c r="S390" s="753">
        <v>5904</v>
      </c>
      <c r="T390" s="753">
        <v>5904</v>
      </c>
      <c r="U390" s="753">
        <v>586</v>
      </c>
      <c r="V390" s="751">
        <v>2019</v>
      </c>
      <c r="W390" s="222"/>
      <c r="X390" s="186"/>
      <c r="Y390" s="178" t="str">
        <f t="shared" si="16"/>
        <v/>
      </c>
      <c r="Z390" s="178" t="str">
        <f t="shared" si="17"/>
        <v/>
      </c>
      <c r="AA390" s="44"/>
      <c r="AB390" s="65"/>
    </row>
    <row r="391" spans="1:28" ht="25" hidden="1">
      <c r="A391" s="751">
        <v>6081</v>
      </c>
      <c r="B391" s="752" t="s">
        <v>35</v>
      </c>
      <c r="C391" s="751" t="s">
        <v>2960</v>
      </c>
      <c r="D391" s="752" t="s">
        <v>379</v>
      </c>
      <c r="E391" s="752" t="s">
        <v>380</v>
      </c>
      <c r="F391" s="751">
        <v>11806</v>
      </c>
      <c r="G391" s="752" t="s">
        <v>83</v>
      </c>
      <c r="H391" s="752" t="s">
        <v>1245</v>
      </c>
      <c r="I391" s="752" t="s">
        <v>60</v>
      </c>
      <c r="J391" s="751">
        <v>22</v>
      </c>
      <c r="K391" s="751">
        <v>1</v>
      </c>
      <c r="L391" s="752" t="s">
        <v>36</v>
      </c>
      <c r="M391" s="752" t="s">
        <v>40</v>
      </c>
      <c r="N391" s="752" t="s">
        <v>48</v>
      </c>
      <c r="O391" s="752" t="s">
        <v>48</v>
      </c>
      <c r="P391" s="752" t="s">
        <v>49</v>
      </c>
      <c r="Q391" s="753">
        <v>0</v>
      </c>
      <c r="R391" s="753">
        <v>0</v>
      </c>
      <c r="S391" s="753">
        <v>0</v>
      </c>
      <c r="T391" s="753">
        <v>0</v>
      </c>
      <c r="U391" s="753">
        <v>55.395000000000003</v>
      </c>
      <c r="V391" s="751">
        <v>2019</v>
      </c>
      <c r="W391" s="222" t="s">
        <v>2666</v>
      </c>
      <c r="X391" s="186" t="str">
        <f t="shared" ref="X391:X398" si="18">IF(OR(K391&gt;3,T391=0,NOT(U391&gt;0)),"",T391/U391)</f>
        <v/>
      </c>
      <c r="Y391" s="178" t="str">
        <f t="shared" ref="Y391:Y454" si="19">IF(AND($M391=$Y$2,$N391=$Y$3,NOT($Q391=$R391),NOT($U391=0)),IF($K391=5,$S391/($U391+(8/5)*$U391),IF($K391=7,$S391/($U391+(29/25)*$U391),"")),"")</f>
        <v/>
      </c>
      <c r="Z391" s="178" t="str">
        <f t="shared" ref="Z391:Z454" si="20">IF(AND($M391=$Y$2,$N391=$Y$4,NOT($Q391=$R391),NOT($U391=0)),IF($K391=5,$S391/($U391+(8/5)*$U391),IF($K391=7,$S391/($U391+(29/25)*$U391),"")),"")</f>
        <v/>
      </c>
      <c r="AA391" s="44"/>
      <c r="AB391" s="65"/>
    </row>
    <row r="392" spans="1:28" ht="25" hidden="1">
      <c r="A392" s="751">
        <v>6081</v>
      </c>
      <c r="B392" s="752" t="s">
        <v>35</v>
      </c>
      <c r="C392" s="751" t="s">
        <v>2960</v>
      </c>
      <c r="D392" s="752" t="s">
        <v>379</v>
      </c>
      <c r="E392" s="752" t="s">
        <v>380</v>
      </c>
      <c r="F392" s="751">
        <v>11806</v>
      </c>
      <c r="G392" s="752" t="s">
        <v>83</v>
      </c>
      <c r="H392" s="752" t="s">
        <v>1245</v>
      </c>
      <c r="I392" s="752" t="s">
        <v>60</v>
      </c>
      <c r="J392" s="751">
        <v>22</v>
      </c>
      <c r="K392" s="751">
        <v>1</v>
      </c>
      <c r="L392" s="752" t="s">
        <v>36</v>
      </c>
      <c r="M392" s="752" t="s">
        <v>40</v>
      </c>
      <c r="N392" s="752" t="s">
        <v>41</v>
      </c>
      <c r="O392" s="752" t="s">
        <v>41</v>
      </c>
      <c r="P392" s="752" t="s">
        <v>1091</v>
      </c>
      <c r="Q392" s="753">
        <v>0</v>
      </c>
      <c r="R392" s="753">
        <v>0</v>
      </c>
      <c r="S392" s="753">
        <v>0</v>
      </c>
      <c r="T392" s="753">
        <v>0</v>
      </c>
      <c r="U392" s="753">
        <v>12860.605</v>
      </c>
      <c r="V392" s="751">
        <v>2019</v>
      </c>
      <c r="W392" s="222" t="s">
        <v>2666</v>
      </c>
      <c r="X392" s="186" t="str">
        <f t="shared" si="18"/>
        <v/>
      </c>
      <c r="Y392" s="178" t="str">
        <f t="shared" si="19"/>
        <v/>
      </c>
      <c r="Z392" s="178" t="str">
        <f t="shared" si="20"/>
        <v/>
      </c>
      <c r="AA392" s="44"/>
      <c r="AB392" s="65"/>
    </row>
    <row r="393" spans="1:28" ht="25" hidden="1">
      <c r="A393" s="751">
        <v>6081</v>
      </c>
      <c r="B393" s="752" t="s">
        <v>35</v>
      </c>
      <c r="C393" s="751" t="s">
        <v>2960</v>
      </c>
      <c r="D393" s="752" t="s">
        <v>379</v>
      </c>
      <c r="E393" s="752" t="s">
        <v>380</v>
      </c>
      <c r="F393" s="751">
        <v>11806</v>
      </c>
      <c r="G393" s="752" t="s">
        <v>83</v>
      </c>
      <c r="H393" s="752" t="s">
        <v>1245</v>
      </c>
      <c r="I393" s="752" t="s">
        <v>60</v>
      </c>
      <c r="J393" s="751">
        <v>22</v>
      </c>
      <c r="K393" s="751">
        <v>1</v>
      </c>
      <c r="L393" s="752" t="s">
        <v>36</v>
      </c>
      <c r="M393" s="752" t="s">
        <v>43</v>
      </c>
      <c r="N393" s="752" t="s">
        <v>48</v>
      </c>
      <c r="O393" s="752" t="s">
        <v>48</v>
      </c>
      <c r="P393" s="752" t="s">
        <v>49</v>
      </c>
      <c r="Q393" s="753">
        <v>1439</v>
      </c>
      <c r="R393" s="753">
        <v>1439</v>
      </c>
      <c r="S393" s="753">
        <v>8303</v>
      </c>
      <c r="T393" s="753">
        <v>8303</v>
      </c>
      <c r="U393" s="753">
        <v>655.41600000000005</v>
      </c>
      <c r="V393" s="751">
        <v>2019</v>
      </c>
      <c r="W393" s="222" t="s">
        <v>2666</v>
      </c>
      <c r="X393" s="186">
        <f t="shared" si="18"/>
        <v>12.668290063104958</v>
      </c>
      <c r="Y393" s="178" t="str">
        <f t="shared" si="19"/>
        <v/>
      </c>
      <c r="Z393" s="178" t="str">
        <f t="shared" si="20"/>
        <v/>
      </c>
      <c r="AA393" s="44"/>
      <c r="AB393" s="65"/>
    </row>
    <row r="394" spans="1:28" ht="25" hidden="1">
      <c r="A394" s="751">
        <v>6081</v>
      </c>
      <c r="B394" s="752" t="s">
        <v>35</v>
      </c>
      <c r="C394" s="751" t="s">
        <v>2960</v>
      </c>
      <c r="D394" s="752" t="s">
        <v>379</v>
      </c>
      <c r="E394" s="752" t="s">
        <v>380</v>
      </c>
      <c r="F394" s="751">
        <v>11806</v>
      </c>
      <c r="G394" s="752" t="s">
        <v>83</v>
      </c>
      <c r="H394" s="752" t="s">
        <v>1245</v>
      </c>
      <c r="I394" s="752" t="s">
        <v>60</v>
      </c>
      <c r="J394" s="751">
        <v>22</v>
      </c>
      <c r="K394" s="751">
        <v>1</v>
      </c>
      <c r="L394" s="752" t="s">
        <v>36</v>
      </c>
      <c r="M394" s="752" t="s">
        <v>43</v>
      </c>
      <c r="N394" s="752" t="s">
        <v>41</v>
      </c>
      <c r="O394" s="752" t="s">
        <v>41</v>
      </c>
      <c r="P394" s="752" t="s">
        <v>1091</v>
      </c>
      <c r="Q394" s="753">
        <v>421800</v>
      </c>
      <c r="R394" s="753">
        <v>421800</v>
      </c>
      <c r="S394" s="753">
        <v>430128</v>
      </c>
      <c r="T394" s="753">
        <v>430128</v>
      </c>
      <c r="U394" s="753">
        <v>31181.583999999999</v>
      </c>
      <c r="V394" s="751">
        <v>2019</v>
      </c>
      <c r="W394" s="222" t="s">
        <v>2666</v>
      </c>
      <c r="X394" s="186">
        <f t="shared" si="18"/>
        <v>13.79429601780333</v>
      </c>
      <c r="Y394" s="178" t="str">
        <f t="shared" si="19"/>
        <v/>
      </c>
      <c r="Z394" s="178" t="str">
        <f t="shared" si="20"/>
        <v/>
      </c>
      <c r="AA394" s="44"/>
      <c r="AB394" s="65"/>
    </row>
    <row r="395" spans="1:28" ht="25" hidden="1">
      <c r="A395" s="751">
        <v>6081</v>
      </c>
      <c r="B395" s="752" t="s">
        <v>35</v>
      </c>
      <c r="C395" s="751" t="s">
        <v>2960</v>
      </c>
      <c r="D395" s="752" t="s">
        <v>379</v>
      </c>
      <c r="E395" s="752" t="s">
        <v>380</v>
      </c>
      <c r="F395" s="751">
        <v>11806</v>
      </c>
      <c r="G395" s="752" t="s">
        <v>83</v>
      </c>
      <c r="H395" s="752" t="s">
        <v>1245</v>
      </c>
      <c r="I395" s="752" t="s">
        <v>60</v>
      </c>
      <c r="J395" s="751">
        <v>22</v>
      </c>
      <c r="K395" s="751">
        <v>1</v>
      </c>
      <c r="L395" s="752" t="s">
        <v>36</v>
      </c>
      <c r="M395" s="752" t="s">
        <v>52</v>
      </c>
      <c r="N395" s="752" t="s">
        <v>48</v>
      </c>
      <c r="O395" s="752" t="s">
        <v>48</v>
      </c>
      <c r="P395" s="752" t="s">
        <v>49</v>
      </c>
      <c r="Q395" s="753">
        <v>3526</v>
      </c>
      <c r="R395" s="753">
        <v>3526</v>
      </c>
      <c r="S395" s="753">
        <v>20345</v>
      </c>
      <c r="T395" s="753">
        <v>20345</v>
      </c>
      <c r="U395" s="753">
        <v>1521</v>
      </c>
      <c r="V395" s="751">
        <v>2019</v>
      </c>
      <c r="W395" s="222" t="s">
        <v>2666</v>
      </c>
      <c r="X395" s="186">
        <f t="shared" si="18"/>
        <v>13.376068376068377</v>
      </c>
      <c r="Y395" s="178" t="str">
        <f t="shared" si="19"/>
        <v/>
      </c>
      <c r="Z395" s="178" t="str">
        <f t="shared" si="20"/>
        <v/>
      </c>
      <c r="AA395" s="44"/>
      <c r="AB395" s="65"/>
    </row>
    <row r="396" spans="1:28" ht="25" hidden="1">
      <c r="A396" s="751">
        <v>6081</v>
      </c>
      <c r="B396" s="752" t="s">
        <v>35</v>
      </c>
      <c r="C396" s="751" t="s">
        <v>2960</v>
      </c>
      <c r="D396" s="752" t="s">
        <v>379</v>
      </c>
      <c r="E396" s="752" t="s">
        <v>380</v>
      </c>
      <c r="F396" s="751">
        <v>11806</v>
      </c>
      <c r="G396" s="752" t="s">
        <v>83</v>
      </c>
      <c r="H396" s="752" t="s">
        <v>1245</v>
      </c>
      <c r="I396" s="752" t="s">
        <v>60</v>
      </c>
      <c r="J396" s="751">
        <v>22</v>
      </c>
      <c r="K396" s="751">
        <v>1</v>
      </c>
      <c r="L396" s="752" t="s">
        <v>36</v>
      </c>
      <c r="M396" s="752" t="s">
        <v>53</v>
      </c>
      <c r="N396" s="752" t="s">
        <v>48</v>
      </c>
      <c r="O396" s="752" t="s">
        <v>48</v>
      </c>
      <c r="P396" s="752" t="s">
        <v>49</v>
      </c>
      <c r="Q396" s="753">
        <v>0</v>
      </c>
      <c r="R396" s="753">
        <v>0</v>
      </c>
      <c r="S396" s="753">
        <v>0</v>
      </c>
      <c r="T396" s="753">
        <v>0</v>
      </c>
      <c r="U396" s="753">
        <v>0</v>
      </c>
      <c r="V396" s="751">
        <v>2019</v>
      </c>
      <c r="W396" s="222"/>
      <c r="X396" s="186" t="str">
        <f t="shared" si="18"/>
        <v/>
      </c>
      <c r="Y396" s="178" t="str">
        <f t="shared" si="19"/>
        <v/>
      </c>
      <c r="Z396" s="178" t="str">
        <f t="shared" si="20"/>
        <v/>
      </c>
      <c r="AA396" s="44"/>
      <c r="AB396" s="65"/>
    </row>
    <row r="397" spans="1:28" ht="25" hidden="1">
      <c r="A397" s="751">
        <v>6082</v>
      </c>
      <c r="B397" s="752" t="s">
        <v>35</v>
      </c>
      <c r="C397" s="751" t="s">
        <v>2960</v>
      </c>
      <c r="D397" s="752" t="s">
        <v>1254</v>
      </c>
      <c r="E397" s="752" t="s">
        <v>1254</v>
      </c>
      <c r="F397" s="751">
        <v>22129</v>
      </c>
      <c r="G397" s="752" t="s">
        <v>59</v>
      </c>
      <c r="H397" s="752" t="s">
        <v>1244</v>
      </c>
      <c r="I397" s="752" t="s">
        <v>60</v>
      </c>
      <c r="J397" s="751">
        <v>22</v>
      </c>
      <c r="K397" s="751">
        <v>2</v>
      </c>
      <c r="L397" s="752" t="s">
        <v>54</v>
      </c>
      <c r="M397" s="752" t="s">
        <v>44</v>
      </c>
      <c r="N397" s="752" t="s">
        <v>45</v>
      </c>
      <c r="O397" s="752" t="s">
        <v>46</v>
      </c>
      <c r="P397" s="752" t="s">
        <v>47</v>
      </c>
      <c r="Q397" s="753">
        <v>145081</v>
      </c>
      <c r="R397" s="753">
        <v>145081</v>
      </c>
      <c r="S397" s="753">
        <v>3750931</v>
      </c>
      <c r="T397" s="753">
        <v>3750931</v>
      </c>
      <c r="U397" s="753">
        <v>340742.5</v>
      </c>
      <c r="V397" s="751">
        <v>2019</v>
      </c>
      <c r="W397" s="222" t="s">
        <v>2666</v>
      </c>
      <c r="X397" s="186">
        <f t="shared" si="18"/>
        <v>11.008110229865661</v>
      </c>
      <c r="Y397" s="178" t="str">
        <f t="shared" si="19"/>
        <v/>
      </c>
      <c r="Z397" s="178" t="str">
        <f t="shared" si="20"/>
        <v/>
      </c>
      <c r="AA397" s="44"/>
      <c r="AB397" s="65"/>
    </row>
    <row r="398" spans="1:28" hidden="1">
      <c r="A398" s="751">
        <v>6082</v>
      </c>
      <c r="B398" s="752" t="s">
        <v>35</v>
      </c>
      <c r="C398" s="751" t="s">
        <v>2960</v>
      </c>
      <c r="D398" s="752" t="s">
        <v>1254</v>
      </c>
      <c r="E398" s="752" t="s">
        <v>1254</v>
      </c>
      <c r="F398" s="751">
        <v>22129</v>
      </c>
      <c r="G398" s="752" t="s">
        <v>59</v>
      </c>
      <c r="H398" s="752" t="s">
        <v>1244</v>
      </c>
      <c r="I398" s="752" t="s">
        <v>60</v>
      </c>
      <c r="J398" s="751">
        <v>22</v>
      </c>
      <c r="K398" s="751">
        <v>2</v>
      </c>
      <c r="L398" s="752" t="s">
        <v>54</v>
      </c>
      <c r="M398" s="752" t="s">
        <v>44</v>
      </c>
      <c r="N398" s="752" t="s">
        <v>48</v>
      </c>
      <c r="O398" s="752" t="s">
        <v>48</v>
      </c>
      <c r="P398" s="752" t="s">
        <v>49</v>
      </c>
      <c r="Q398" s="753">
        <v>9154</v>
      </c>
      <c r="R398" s="753">
        <v>9154</v>
      </c>
      <c r="S398" s="753">
        <v>52864</v>
      </c>
      <c r="T398" s="753">
        <v>52864</v>
      </c>
      <c r="U398" s="753">
        <v>4533.5039999999999</v>
      </c>
      <c r="V398" s="751">
        <v>2019</v>
      </c>
      <c r="W398" s="222" t="s">
        <v>2666</v>
      </c>
      <c r="X398" s="186">
        <f t="shared" si="18"/>
        <v>11.66073747811847</v>
      </c>
      <c r="Y398" s="178" t="str">
        <f t="shared" si="19"/>
        <v/>
      </c>
      <c r="Z398" s="178" t="str">
        <f t="shared" si="20"/>
        <v/>
      </c>
      <c r="AA398" s="44"/>
      <c r="AB398" s="65"/>
    </row>
    <row r="399" spans="1:28" hidden="1">
      <c r="A399" s="751">
        <v>6082</v>
      </c>
      <c r="B399" s="752" t="s">
        <v>35</v>
      </c>
      <c r="C399" s="751" t="s">
        <v>2960</v>
      </c>
      <c r="D399" s="752" t="s">
        <v>1254</v>
      </c>
      <c r="E399" s="752" t="s">
        <v>1254</v>
      </c>
      <c r="F399" s="751">
        <v>22129</v>
      </c>
      <c r="G399" s="752" t="s">
        <v>59</v>
      </c>
      <c r="H399" s="752" t="s">
        <v>1244</v>
      </c>
      <c r="I399" s="752" t="s">
        <v>60</v>
      </c>
      <c r="J399" s="751">
        <v>22</v>
      </c>
      <c r="K399" s="751">
        <v>2</v>
      </c>
      <c r="L399" s="752" t="s">
        <v>54</v>
      </c>
      <c r="M399" s="752" t="s">
        <v>44</v>
      </c>
      <c r="N399" s="752" t="s">
        <v>78</v>
      </c>
      <c r="O399" s="752" t="s">
        <v>69</v>
      </c>
      <c r="P399" s="752" t="s">
        <v>49</v>
      </c>
      <c r="Q399" s="753">
        <v>0</v>
      </c>
      <c r="R399" s="753">
        <v>0</v>
      </c>
      <c r="S399" s="753">
        <v>0</v>
      </c>
      <c r="T399" s="753">
        <v>0</v>
      </c>
      <c r="U399" s="753">
        <v>0</v>
      </c>
      <c r="V399" s="751">
        <v>2019</v>
      </c>
      <c r="W399" s="222" t="s">
        <v>2666</v>
      </c>
      <c r="X399" s="186"/>
      <c r="Y399" s="178" t="str">
        <f t="shared" si="19"/>
        <v/>
      </c>
      <c r="Z399" s="178" t="str">
        <f t="shared" si="20"/>
        <v/>
      </c>
      <c r="AA399" s="44"/>
      <c r="AB399" s="65"/>
    </row>
    <row r="400" spans="1:28" ht="25" hidden="1">
      <c r="A400" s="751">
        <v>6082</v>
      </c>
      <c r="B400" s="752" t="s">
        <v>35</v>
      </c>
      <c r="C400" s="751" t="s">
        <v>2960</v>
      </c>
      <c r="D400" s="752" t="s">
        <v>1254</v>
      </c>
      <c r="E400" s="752" t="s">
        <v>1254</v>
      </c>
      <c r="F400" s="751">
        <v>22129</v>
      </c>
      <c r="G400" s="752" t="s">
        <v>59</v>
      </c>
      <c r="H400" s="752" t="s">
        <v>1244</v>
      </c>
      <c r="I400" s="752" t="s">
        <v>60</v>
      </c>
      <c r="J400" s="751">
        <v>22</v>
      </c>
      <c r="K400" s="751">
        <v>2</v>
      </c>
      <c r="L400" s="752" t="s">
        <v>54</v>
      </c>
      <c r="M400" s="752" t="s">
        <v>44</v>
      </c>
      <c r="N400" s="752" t="s">
        <v>67</v>
      </c>
      <c r="O400" s="752" t="s">
        <v>67</v>
      </c>
      <c r="P400" s="752" t="s">
        <v>47</v>
      </c>
      <c r="Q400" s="753">
        <v>0</v>
      </c>
      <c r="R400" s="753">
        <v>0</v>
      </c>
      <c r="S400" s="753">
        <v>0</v>
      </c>
      <c r="T400" s="753">
        <v>0</v>
      </c>
      <c r="U400" s="753">
        <v>0</v>
      </c>
      <c r="V400" s="751">
        <v>2019</v>
      </c>
      <c r="W400" s="222" t="s">
        <v>2666</v>
      </c>
      <c r="X400" s="186" t="str">
        <f>IF(OR(K400&gt;3,T400=0,NOT(U400&gt;0)),"",T400/U400)</f>
        <v/>
      </c>
      <c r="Y400" s="178" t="str">
        <f t="shared" si="19"/>
        <v/>
      </c>
      <c r="Z400" s="178" t="str">
        <f t="shared" si="20"/>
        <v/>
      </c>
      <c r="AA400" s="44"/>
      <c r="AB400" s="65"/>
    </row>
    <row r="401" spans="1:28" ht="25" hidden="1">
      <c r="A401" s="751">
        <v>6082</v>
      </c>
      <c r="B401" s="752" t="s">
        <v>35</v>
      </c>
      <c r="C401" s="751" t="s">
        <v>2960</v>
      </c>
      <c r="D401" s="752" t="s">
        <v>1254</v>
      </c>
      <c r="E401" s="752" t="s">
        <v>1254</v>
      </c>
      <c r="F401" s="751">
        <v>22129</v>
      </c>
      <c r="G401" s="752" t="s">
        <v>59</v>
      </c>
      <c r="H401" s="752" t="s">
        <v>1244</v>
      </c>
      <c r="I401" s="752" t="s">
        <v>60</v>
      </c>
      <c r="J401" s="751">
        <v>22</v>
      </c>
      <c r="K401" s="751">
        <v>2</v>
      </c>
      <c r="L401" s="752" t="s">
        <v>54</v>
      </c>
      <c r="M401" s="752" t="s">
        <v>44</v>
      </c>
      <c r="N401" s="752" t="s">
        <v>50</v>
      </c>
      <c r="O401" s="752" t="s">
        <v>46</v>
      </c>
      <c r="P401" s="752" t="s">
        <v>47</v>
      </c>
      <c r="Q401" s="753">
        <v>0</v>
      </c>
      <c r="R401" s="753">
        <v>0</v>
      </c>
      <c r="S401" s="753">
        <v>0</v>
      </c>
      <c r="T401" s="753">
        <v>0</v>
      </c>
      <c r="U401" s="753">
        <v>0</v>
      </c>
      <c r="V401" s="751">
        <v>2019</v>
      </c>
      <c r="W401" s="222" t="s">
        <v>2666</v>
      </c>
      <c r="X401" s="186" t="str">
        <f>IF(OR(K401&gt;3,T401=0,NOT(U401&gt;0)),"",T401/U401)</f>
        <v/>
      </c>
      <c r="Y401" s="178" t="str">
        <f t="shared" si="19"/>
        <v/>
      </c>
      <c r="Z401" s="178" t="str">
        <f t="shared" si="20"/>
        <v/>
      </c>
      <c r="AA401" s="44"/>
      <c r="AB401" s="65"/>
    </row>
    <row r="402" spans="1:28" hidden="1">
      <c r="A402" s="751">
        <v>6083</v>
      </c>
      <c r="B402" s="752" t="s">
        <v>35</v>
      </c>
      <c r="C402" s="751" t="s">
        <v>2960</v>
      </c>
      <c r="D402" s="752" t="s">
        <v>760</v>
      </c>
      <c r="E402" s="752" t="s">
        <v>2248</v>
      </c>
      <c r="F402" s="751">
        <v>61122</v>
      </c>
      <c r="G402" s="752" t="s">
        <v>83</v>
      </c>
      <c r="H402" s="752" t="s">
        <v>1245</v>
      </c>
      <c r="I402" s="752" t="s">
        <v>60</v>
      </c>
      <c r="J402" s="751">
        <v>22</v>
      </c>
      <c r="K402" s="751">
        <v>2</v>
      </c>
      <c r="L402" s="752" t="s">
        <v>54</v>
      </c>
      <c r="M402" s="752" t="s">
        <v>37</v>
      </c>
      <c r="N402" s="752" t="s">
        <v>38</v>
      </c>
      <c r="O402" s="752" t="s">
        <v>39</v>
      </c>
      <c r="P402" s="752" t="s">
        <v>1238</v>
      </c>
      <c r="Q402" s="753">
        <v>0</v>
      </c>
      <c r="R402" s="753">
        <v>0</v>
      </c>
      <c r="S402" s="753">
        <v>242116</v>
      </c>
      <c r="T402" s="753">
        <v>242116</v>
      </c>
      <c r="U402" s="753">
        <v>27192</v>
      </c>
      <c r="V402" s="751">
        <v>2019</v>
      </c>
      <c r="W402" s="222"/>
      <c r="X402" s="186"/>
      <c r="Y402" s="178" t="str">
        <f t="shared" si="19"/>
        <v/>
      </c>
      <c r="Z402" s="178" t="str">
        <f t="shared" si="20"/>
        <v/>
      </c>
      <c r="AA402" s="44"/>
      <c r="AB402" s="65"/>
    </row>
    <row r="403" spans="1:28" hidden="1">
      <c r="A403" s="751">
        <v>6110</v>
      </c>
      <c r="B403" s="752" t="s">
        <v>35</v>
      </c>
      <c r="C403" s="751">
        <v>1</v>
      </c>
      <c r="D403" s="752" t="s">
        <v>381</v>
      </c>
      <c r="E403" s="752" t="s">
        <v>1927</v>
      </c>
      <c r="F403" s="751">
        <v>55951</v>
      </c>
      <c r="G403" s="752" t="s">
        <v>59</v>
      </c>
      <c r="H403" s="752" t="s">
        <v>1244</v>
      </c>
      <c r="I403" s="752" t="s">
        <v>60</v>
      </c>
      <c r="J403" s="751">
        <v>22</v>
      </c>
      <c r="K403" s="751">
        <v>2</v>
      </c>
      <c r="L403" s="752" t="s">
        <v>54</v>
      </c>
      <c r="M403" s="752" t="s">
        <v>44</v>
      </c>
      <c r="N403" s="752" t="s">
        <v>55</v>
      </c>
      <c r="O403" s="752" t="s">
        <v>55</v>
      </c>
      <c r="P403" s="752" t="s">
        <v>1238</v>
      </c>
      <c r="Q403" s="753">
        <v>0</v>
      </c>
      <c r="R403" s="753">
        <v>0</v>
      </c>
      <c r="S403" s="753">
        <v>76799140</v>
      </c>
      <c r="T403" s="753">
        <v>76799140</v>
      </c>
      <c r="U403" s="753">
        <v>7355106</v>
      </c>
      <c r="V403" s="751">
        <v>2019</v>
      </c>
      <c r="W403" s="222"/>
      <c r="X403" s="186"/>
      <c r="Y403" s="178" t="str">
        <f t="shared" si="19"/>
        <v/>
      </c>
      <c r="Z403" s="178" t="str">
        <f t="shared" si="20"/>
        <v/>
      </c>
      <c r="AA403" s="44"/>
      <c r="AB403" s="65"/>
    </row>
    <row r="404" spans="1:28" hidden="1">
      <c r="A404" s="751">
        <v>6115</v>
      </c>
      <c r="B404" s="752" t="s">
        <v>35</v>
      </c>
      <c r="C404" s="751">
        <v>1</v>
      </c>
      <c r="D404" s="752" t="s">
        <v>382</v>
      </c>
      <c r="E404" s="752" t="s">
        <v>761</v>
      </c>
      <c r="F404" s="751">
        <v>6854</v>
      </c>
      <c r="G404" s="752" t="s">
        <v>98</v>
      </c>
      <c r="H404" s="752" t="s">
        <v>1245</v>
      </c>
      <c r="I404" s="752" t="s">
        <v>60</v>
      </c>
      <c r="J404" s="751">
        <v>22</v>
      </c>
      <c r="K404" s="751">
        <v>2</v>
      </c>
      <c r="L404" s="752" t="s">
        <v>54</v>
      </c>
      <c r="M404" s="752" t="s">
        <v>44</v>
      </c>
      <c r="N404" s="752" t="s">
        <v>55</v>
      </c>
      <c r="O404" s="752" t="s">
        <v>55</v>
      </c>
      <c r="P404" s="752" t="s">
        <v>1238</v>
      </c>
      <c r="Q404" s="753">
        <v>0</v>
      </c>
      <c r="R404" s="753">
        <v>0</v>
      </c>
      <c r="S404" s="753">
        <v>113885822</v>
      </c>
      <c r="T404" s="753">
        <v>113885822</v>
      </c>
      <c r="U404" s="753">
        <v>10906923</v>
      </c>
      <c r="V404" s="751">
        <v>2019</v>
      </c>
      <c r="W404" s="222"/>
      <c r="X404" s="186">
        <f>IF(OR(K404&gt;3,T404=0,NOT(U404&gt;0)),"",T404/U404)</f>
        <v>10.441608692020655</v>
      </c>
      <c r="Y404" s="178" t="str">
        <f t="shared" si="19"/>
        <v/>
      </c>
      <c r="Z404" s="178" t="str">
        <f t="shared" si="20"/>
        <v/>
      </c>
      <c r="AA404" s="44"/>
      <c r="AB404" s="65"/>
    </row>
    <row r="405" spans="1:28" hidden="1">
      <c r="A405" s="751">
        <v>6119</v>
      </c>
      <c r="B405" s="752" t="s">
        <v>35</v>
      </c>
      <c r="C405" s="751" t="s">
        <v>2960</v>
      </c>
      <c r="D405" s="752" t="s">
        <v>762</v>
      </c>
      <c r="E405" s="752" t="s">
        <v>2248</v>
      </c>
      <c r="F405" s="751">
        <v>61122</v>
      </c>
      <c r="G405" s="752" t="s">
        <v>83</v>
      </c>
      <c r="H405" s="752" t="s">
        <v>1245</v>
      </c>
      <c r="I405" s="752" t="s">
        <v>60</v>
      </c>
      <c r="J405" s="751">
        <v>22</v>
      </c>
      <c r="K405" s="751">
        <v>2</v>
      </c>
      <c r="L405" s="752" t="s">
        <v>54</v>
      </c>
      <c r="M405" s="752" t="s">
        <v>37</v>
      </c>
      <c r="N405" s="752" t="s">
        <v>38</v>
      </c>
      <c r="O405" s="752" t="s">
        <v>39</v>
      </c>
      <c r="P405" s="752" t="s">
        <v>1238</v>
      </c>
      <c r="Q405" s="753">
        <v>0</v>
      </c>
      <c r="R405" s="753">
        <v>0</v>
      </c>
      <c r="S405" s="753">
        <v>203776</v>
      </c>
      <c r="T405" s="753">
        <v>203776</v>
      </c>
      <c r="U405" s="753">
        <v>22886</v>
      </c>
      <c r="V405" s="751">
        <v>2019</v>
      </c>
      <c r="W405" s="222"/>
      <c r="X405" s="186">
        <f>IF(OR(K405&gt;3,T405=0,NOT(U405&gt;0)),"",T405/U405)</f>
        <v>8.9039587520755052</v>
      </c>
      <c r="Y405" s="178" t="str">
        <f t="shared" si="19"/>
        <v/>
      </c>
      <c r="Z405" s="178" t="str">
        <f t="shared" si="20"/>
        <v/>
      </c>
      <c r="AA405" s="44"/>
      <c r="AB405" s="65"/>
    </row>
    <row r="406" spans="1:28" hidden="1">
      <c r="A406" s="751">
        <v>6122</v>
      </c>
      <c r="B406" s="752" t="s">
        <v>35</v>
      </c>
      <c r="C406" s="751">
        <v>1</v>
      </c>
      <c r="D406" s="752" t="s">
        <v>1099</v>
      </c>
      <c r="E406" s="752" t="s">
        <v>1927</v>
      </c>
      <c r="F406" s="751">
        <v>55951</v>
      </c>
      <c r="G406" s="752" t="s">
        <v>59</v>
      </c>
      <c r="H406" s="752" t="s">
        <v>1244</v>
      </c>
      <c r="I406" s="752" t="s">
        <v>60</v>
      </c>
      <c r="J406" s="751">
        <v>22</v>
      </c>
      <c r="K406" s="751">
        <v>2</v>
      </c>
      <c r="L406" s="752" t="s">
        <v>54</v>
      </c>
      <c r="M406" s="752" t="s">
        <v>44</v>
      </c>
      <c r="N406" s="752" t="s">
        <v>55</v>
      </c>
      <c r="O406" s="752" t="s">
        <v>55</v>
      </c>
      <c r="P406" s="752" t="s">
        <v>1238</v>
      </c>
      <c r="Q406" s="753">
        <v>0</v>
      </c>
      <c r="R406" s="753">
        <v>0</v>
      </c>
      <c r="S406" s="753">
        <v>52142188</v>
      </c>
      <c r="T406" s="753">
        <v>52142188</v>
      </c>
      <c r="U406" s="753">
        <v>4993693</v>
      </c>
      <c r="V406" s="751">
        <v>2019</v>
      </c>
      <c r="W406" s="222"/>
      <c r="X406" s="186"/>
      <c r="Y406" s="178" t="str">
        <f t="shared" si="19"/>
        <v/>
      </c>
      <c r="Z406" s="178" t="str">
        <f t="shared" si="20"/>
        <v/>
      </c>
      <c r="AA406" s="44"/>
      <c r="AB406" s="65"/>
    </row>
    <row r="407" spans="1:28" hidden="1">
      <c r="A407" s="751">
        <v>6125</v>
      </c>
      <c r="B407" s="752" t="s">
        <v>35</v>
      </c>
      <c r="C407" s="751" t="s">
        <v>2960</v>
      </c>
      <c r="D407" s="752" t="s">
        <v>763</v>
      </c>
      <c r="E407" s="752" t="s">
        <v>1224</v>
      </c>
      <c r="F407" s="751">
        <v>17127</v>
      </c>
      <c r="G407" s="752" t="s">
        <v>83</v>
      </c>
      <c r="H407" s="752" t="s">
        <v>1245</v>
      </c>
      <c r="I407" s="752" t="s">
        <v>60</v>
      </c>
      <c r="J407" s="751">
        <v>22</v>
      </c>
      <c r="K407" s="751">
        <v>1</v>
      </c>
      <c r="L407" s="752" t="s">
        <v>36</v>
      </c>
      <c r="M407" s="752" t="s">
        <v>53</v>
      </c>
      <c r="N407" s="752" t="s">
        <v>48</v>
      </c>
      <c r="O407" s="752" t="s">
        <v>48</v>
      </c>
      <c r="P407" s="752" t="s">
        <v>49</v>
      </c>
      <c r="Q407" s="753">
        <v>212</v>
      </c>
      <c r="R407" s="753">
        <v>212</v>
      </c>
      <c r="S407" s="753">
        <v>1248</v>
      </c>
      <c r="T407" s="753">
        <v>1248</v>
      </c>
      <c r="U407" s="753">
        <v>-107.414</v>
      </c>
      <c r="V407" s="751">
        <v>2019</v>
      </c>
      <c r="W407" s="222"/>
      <c r="X407" s="186" t="str">
        <f>IF(OR(K407&gt;3,T407=0,NOT(U407&gt;0)),"",T407/U407)</f>
        <v/>
      </c>
      <c r="Y407" s="178" t="str">
        <f t="shared" si="19"/>
        <v/>
      </c>
      <c r="Z407" s="178" t="str">
        <f t="shared" si="20"/>
        <v/>
      </c>
      <c r="AA407" s="44"/>
      <c r="AB407" s="65"/>
    </row>
    <row r="408" spans="1:28" hidden="1">
      <c r="A408" s="751">
        <v>6125</v>
      </c>
      <c r="B408" s="752" t="s">
        <v>35</v>
      </c>
      <c r="C408" s="751" t="s">
        <v>2960</v>
      </c>
      <c r="D408" s="752" t="s">
        <v>763</v>
      </c>
      <c r="E408" s="752" t="s">
        <v>1224</v>
      </c>
      <c r="F408" s="751">
        <v>17127</v>
      </c>
      <c r="G408" s="752" t="s">
        <v>83</v>
      </c>
      <c r="H408" s="752" t="s">
        <v>1245</v>
      </c>
      <c r="I408" s="752" t="s">
        <v>60</v>
      </c>
      <c r="J408" s="751">
        <v>22</v>
      </c>
      <c r="K408" s="751">
        <v>1</v>
      </c>
      <c r="L408" s="752" t="s">
        <v>36</v>
      </c>
      <c r="M408" s="752" t="s">
        <v>53</v>
      </c>
      <c r="N408" s="752" t="s">
        <v>41</v>
      </c>
      <c r="O408" s="752" t="s">
        <v>41</v>
      </c>
      <c r="P408" s="752" t="s">
        <v>1091</v>
      </c>
      <c r="Q408" s="753">
        <v>2042</v>
      </c>
      <c r="R408" s="753">
        <v>2042</v>
      </c>
      <c r="S408" s="753">
        <v>2108</v>
      </c>
      <c r="T408" s="753">
        <v>2108</v>
      </c>
      <c r="U408" s="753">
        <v>-181.58600000000001</v>
      </c>
      <c r="V408" s="751">
        <v>2019</v>
      </c>
      <c r="W408" s="222"/>
      <c r="X408" s="186" t="str">
        <f>IF(OR(K408&gt;3,T408=0,NOT(U408&gt;0)),"",T408/U408)</f>
        <v/>
      </c>
      <c r="Y408" s="178" t="str">
        <f t="shared" si="19"/>
        <v/>
      </c>
      <c r="Z408" s="178" t="str">
        <f t="shared" si="20"/>
        <v/>
      </c>
      <c r="AA408" s="44"/>
      <c r="AB408" s="65"/>
    </row>
    <row r="409" spans="1:28" s="154" customFormat="1" hidden="1">
      <c r="A409" s="751">
        <v>6125</v>
      </c>
      <c r="B409" s="752" t="s">
        <v>35</v>
      </c>
      <c r="C409" s="751" t="s">
        <v>2960</v>
      </c>
      <c r="D409" s="752" t="s">
        <v>763</v>
      </c>
      <c r="E409" s="752" t="s">
        <v>1224</v>
      </c>
      <c r="F409" s="751">
        <v>17127</v>
      </c>
      <c r="G409" s="752" t="s">
        <v>83</v>
      </c>
      <c r="H409" s="752" t="s">
        <v>1245</v>
      </c>
      <c r="I409" s="752" t="s">
        <v>60</v>
      </c>
      <c r="J409" s="751">
        <v>22</v>
      </c>
      <c r="K409" s="751">
        <v>1</v>
      </c>
      <c r="L409" s="752" t="s">
        <v>36</v>
      </c>
      <c r="M409" s="752" t="s">
        <v>468</v>
      </c>
      <c r="N409" s="752" t="s">
        <v>469</v>
      </c>
      <c r="O409" s="752" t="s">
        <v>469</v>
      </c>
      <c r="P409" s="752" t="s">
        <v>1238</v>
      </c>
      <c r="Q409" s="753">
        <v>0</v>
      </c>
      <c r="R409" s="753">
        <v>0</v>
      </c>
      <c r="S409" s="753">
        <v>43015</v>
      </c>
      <c r="T409" s="753">
        <v>43015</v>
      </c>
      <c r="U409" s="753">
        <v>4831</v>
      </c>
      <c r="V409" s="751">
        <v>2019</v>
      </c>
      <c r="W409" s="222"/>
      <c r="X409" s="186">
        <f>IF(OR(K409&gt;3,T409=0,NOT(U409&gt;0)),"",T409/U409)</f>
        <v>8.9039536327882427</v>
      </c>
      <c r="Y409" s="178" t="str">
        <f t="shared" si="19"/>
        <v/>
      </c>
      <c r="Z409" s="178" t="str">
        <f t="shared" si="20"/>
        <v/>
      </c>
      <c r="AA409" s="44"/>
      <c r="AB409" s="179"/>
    </row>
    <row r="410" spans="1:28" s="154" customFormat="1" hidden="1">
      <c r="A410" s="751">
        <v>6156</v>
      </c>
      <c r="B410" s="752" t="s">
        <v>35</v>
      </c>
      <c r="C410" s="751" t="s">
        <v>2960</v>
      </c>
      <c r="D410" s="752" t="s">
        <v>383</v>
      </c>
      <c r="E410" s="752" t="s">
        <v>89</v>
      </c>
      <c r="F410" s="751">
        <v>15452</v>
      </c>
      <c r="G410" s="752" t="s">
        <v>43</v>
      </c>
      <c r="H410" s="752" t="s">
        <v>1245</v>
      </c>
      <c r="I410" s="752" t="s">
        <v>60</v>
      </c>
      <c r="J410" s="751">
        <v>22</v>
      </c>
      <c r="K410" s="751">
        <v>2</v>
      </c>
      <c r="L410" s="752" t="s">
        <v>54</v>
      </c>
      <c r="M410" s="752" t="s">
        <v>52</v>
      </c>
      <c r="N410" s="752" t="s">
        <v>78</v>
      </c>
      <c r="O410" s="752" t="s">
        <v>69</v>
      </c>
      <c r="P410" s="752" t="s">
        <v>49</v>
      </c>
      <c r="Q410" s="753">
        <v>3238</v>
      </c>
      <c r="R410" s="753">
        <v>3238</v>
      </c>
      <c r="S410" s="753">
        <v>18370</v>
      </c>
      <c r="T410" s="753">
        <v>18370</v>
      </c>
      <c r="U410" s="753">
        <v>-1629</v>
      </c>
      <c r="V410" s="751">
        <v>2019</v>
      </c>
      <c r="W410" s="222" t="s">
        <v>2666</v>
      </c>
      <c r="X410" s="186"/>
      <c r="Y410" s="178" t="str">
        <f t="shared" si="19"/>
        <v/>
      </c>
      <c r="Z410" s="178" t="str">
        <f t="shared" si="20"/>
        <v/>
      </c>
      <c r="AA410" s="44"/>
      <c r="AB410" s="179"/>
    </row>
    <row r="411" spans="1:28" hidden="1">
      <c r="A411" s="751">
        <v>6156</v>
      </c>
      <c r="B411" s="752" t="s">
        <v>35</v>
      </c>
      <c r="C411" s="751" t="s">
        <v>2960</v>
      </c>
      <c r="D411" s="752" t="s">
        <v>383</v>
      </c>
      <c r="E411" s="752" t="s">
        <v>89</v>
      </c>
      <c r="F411" s="751">
        <v>15452</v>
      </c>
      <c r="G411" s="752" t="s">
        <v>43</v>
      </c>
      <c r="H411" s="752" t="s">
        <v>1245</v>
      </c>
      <c r="I411" s="752" t="s">
        <v>60</v>
      </c>
      <c r="J411" s="751">
        <v>22</v>
      </c>
      <c r="K411" s="751">
        <v>2</v>
      </c>
      <c r="L411" s="752" t="s">
        <v>54</v>
      </c>
      <c r="M411" s="752" t="s">
        <v>52</v>
      </c>
      <c r="N411" s="752" t="s">
        <v>41</v>
      </c>
      <c r="O411" s="752" t="s">
        <v>41</v>
      </c>
      <c r="P411" s="752" t="s">
        <v>1091</v>
      </c>
      <c r="Q411" s="753">
        <v>0</v>
      </c>
      <c r="R411" s="753">
        <v>0</v>
      </c>
      <c r="S411" s="753">
        <v>0</v>
      </c>
      <c r="T411" s="753">
        <v>0</v>
      </c>
      <c r="U411" s="753">
        <v>0</v>
      </c>
      <c r="V411" s="751">
        <v>2019</v>
      </c>
      <c r="W411" s="222" t="s">
        <v>2666</v>
      </c>
      <c r="X411" s="186"/>
      <c r="Y411" s="178" t="str">
        <f t="shared" si="19"/>
        <v/>
      </c>
      <c r="Z411" s="178" t="str">
        <f t="shared" si="20"/>
        <v/>
      </c>
      <c r="AA411" s="44"/>
      <c r="AB411" s="65"/>
    </row>
    <row r="412" spans="1:28" hidden="1">
      <c r="A412" s="751">
        <v>6156</v>
      </c>
      <c r="B412" s="752" t="s">
        <v>35</v>
      </c>
      <c r="C412" s="751" t="s">
        <v>2960</v>
      </c>
      <c r="D412" s="752" t="s">
        <v>383</v>
      </c>
      <c r="E412" s="752" t="s">
        <v>89</v>
      </c>
      <c r="F412" s="751">
        <v>15452</v>
      </c>
      <c r="G412" s="752" t="s">
        <v>43</v>
      </c>
      <c r="H412" s="752" t="s">
        <v>1245</v>
      </c>
      <c r="I412" s="752" t="s">
        <v>60</v>
      </c>
      <c r="J412" s="751">
        <v>22</v>
      </c>
      <c r="K412" s="751">
        <v>2</v>
      </c>
      <c r="L412" s="752" t="s">
        <v>54</v>
      </c>
      <c r="M412" s="752" t="s">
        <v>44</v>
      </c>
      <c r="N412" s="752" t="s">
        <v>48</v>
      </c>
      <c r="O412" s="752" t="s">
        <v>48</v>
      </c>
      <c r="P412" s="752" t="s">
        <v>49</v>
      </c>
      <c r="Q412" s="753">
        <v>5048</v>
      </c>
      <c r="R412" s="753">
        <v>5048</v>
      </c>
      <c r="S412" s="753">
        <v>29470</v>
      </c>
      <c r="T412" s="753">
        <v>29470</v>
      </c>
      <c r="U412" s="753">
        <v>-7876.1559999999999</v>
      </c>
      <c r="V412" s="751">
        <v>2019</v>
      </c>
      <c r="W412" s="222" t="s">
        <v>2666</v>
      </c>
      <c r="X412" s="186"/>
      <c r="Y412" s="178" t="str">
        <f t="shared" si="19"/>
        <v/>
      </c>
      <c r="Z412" s="178" t="str">
        <f t="shared" si="20"/>
        <v/>
      </c>
      <c r="AA412" s="44"/>
      <c r="AB412" s="65"/>
    </row>
    <row r="413" spans="1:28" hidden="1">
      <c r="A413" s="751">
        <v>6156</v>
      </c>
      <c r="B413" s="752" t="s">
        <v>35</v>
      </c>
      <c r="C413" s="751" t="s">
        <v>2960</v>
      </c>
      <c r="D413" s="752" t="s">
        <v>383</v>
      </c>
      <c r="E413" s="752" t="s">
        <v>89</v>
      </c>
      <c r="F413" s="751">
        <v>15452</v>
      </c>
      <c r="G413" s="752" t="s">
        <v>43</v>
      </c>
      <c r="H413" s="752" t="s">
        <v>1245</v>
      </c>
      <c r="I413" s="752" t="s">
        <v>60</v>
      </c>
      <c r="J413" s="751">
        <v>22</v>
      </c>
      <c r="K413" s="751">
        <v>2</v>
      </c>
      <c r="L413" s="752" t="s">
        <v>54</v>
      </c>
      <c r="M413" s="752" t="s">
        <v>44</v>
      </c>
      <c r="N413" s="752" t="s">
        <v>41</v>
      </c>
      <c r="O413" s="752" t="s">
        <v>41</v>
      </c>
      <c r="P413" s="752" t="s">
        <v>1091</v>
      </c>
      <c r="Q413" s="753">
        <v>205857</v>
      </c>
      <c r="R413" s="753">
        <v>205857</v>
      </c>
      <c r="S413" s="753">
        <v>212033</v>
      </c>
      <c r="T413" s="753">
        <v>212033</v>
      </c>
      <c r="U413" s="753">
        <v>6605.2920000000004</v>
      </c>
      <c r="V413" s="751">
        <v>2019</v>
      </c>
      <c r="W413" s="222" t="s">
        <v>2666</v>
      </c>
      <c r="X413" s="186"/>
      <c r="Y413" s="178" t="str">
        <f t="shared" si="19"/>
        <v/>
      </c>
      <c r="Z413" s="178" t="str">
        <f t="shared" si="20"/>
        <v/>
      </c>
      <c r="AA413" s="44"/>
      <c r="AB413" s="65"/>
    </row>
    <row r="414" spans="1:28" hidden="1">
      <c r="A414" s="751">
        <v>6156</v>
      </c>
      <c r="B414" s="752" t="s">
        <v>35</v>
      </c>
      <c r="C414" s="751" t="s">
        <v>2960</v>
      </c>
      <c r="D414" s="752" t="s">
        <v>383</v>
      </c>
      <c r="E414" s="752" t="s">
        <v>89</v>
      </c>
      <c r="F414" s="751">
        <v>15452</v>
      </c>
      <c r="G414" s="752" t="s">
        <v>43</v>
      </c>
      <c r="H414" s="752" t="s">
        <v>1245</v>
      </c>
      <c r="I414" s="752" t="s">
        <v>60</v>
      </c>
      <c r="J414" s="751">
        <v>22</v>
      </c>
      <c r="K414" s="751">
        <v>2</v>
      </c>
      <c r="L414" s="752" t="s">
        <v>54</v>
      </c>
      <c r="M414" s="752" t="s">
        <v>44</v>
      </c>
      <c r="N414" s="752" t="s">
        <v>63</v>
      </c>
      <c r="O414" s="752" t="s">
        <v>63</v>
      </c>
      <c r="P414" s="752" t="s">
        <v>49</v>
      </c>
      <c r="Q414" s="753">
        <v>1590</v>
      </c>
      <c r="R414" s="753">
        <v>1590</v>
      </c>
      <c r="S414" s="753">
        <v>10017</v>
      </c>
      <c r="T414" s="753">
        <v>10017</v>
      </c>
      <c r="U414" s="753">
        <v>-1376.136</v>
      </c>
      <c r="V414" s="751">
        <v>2019</v>
      </c>
      <c r="W414" s="222" t="s">
        <v>2666</v>
      </c>
      <c r="X414" s="186"/>
      <c r="Y414" s="178" t="str">
        <f t="shared" si="19"/>
        <v/>
      </c>
      <c r="Z414" s="178" t="str">
        <f t="shared" si="20"/>
        <v/>
      </c>
      <c r="AA414" s="44"/>
      <c r="AB414" s="65"/>
    </row>
    <row r="415" spans="1:28" hidden="1">
      <c r="A415" s="751">
        <v>6378</v>
      </c>
      <c r="B415" s="752" t="s">
        <v>35</v>
      </c>
      <c r="C415" s="751" t="s">
        <v>2960</v>
      </c>
      <c r="D415" s="752" t="s">
        <v>764</v>
      </c>
      <c r="E415" s="752" t="s">
        <v>2452</v>
      </c>
      <c r="F415" s="751">
        <v>61350</v>
      </c>
      <c r="G415" s="752" t="s">
        <v>83</v>
      </c>
      <c r="H415" s="752" t="s">
        <v>1245</v>
      </c>
      <c r="I415" s="752" t="s">
        <v>60</v>
      </c>
      <c r="J415" s="751">
        <v>22</v>
      </c>
      <c r="K415" s="751">
        <v>2</v>
      </c>
      <c r="L415" s="752" t="s">
        <v>54</v>
      </c>
      <c r="M415" s="752" t="s">
        <v>37</v>
      </c>
      <c r="N415" s="752" t="s">
        <v>38</v>
      </c>
      <c r="O415" s="752" t="s">
        <v>39</v>
      </c>
      <c r="P415" s="752" t="s">
        <v>1238</v>
      </c>
      <c r="Q415" s="753">
        <v>0</v>
      </c>
      <c r="R415" s="753">
        <v>0</v>
      </c>
      <c r="S415" s="753">
        <v>46283</v>
      </c>
      <c r="T415" s="753">
        <v>46283</v>
      </c>
      <c r="U415" s="753">
        <v>5198</v>
      </c>
      <c r="V415" s="751">
        <v>2019</v>
      </c>
      <c r="W415" s="222"/>
      <c r="X415" s="186"/>
      <c r="Y415" s="178" t="str">
        <f t="shared" si="19"/>
        <v/>
      </c>
      <c r="Z415" s="178" t="str">
        <f t="shared" si="20"/>
        <v/>
      </c>
      <c r="AA415" s="44"/>
      <c r="AB415" s="65"/>
    </row>
    <row r="416" spans="1:28" hidden="1">
      <c r="A416" s="751">
        <v>6379</v>
      </c>
      <c r="B416" s="752" t="s">
        <v>35</v>
      </c>
      <c r="C416" s="751" t="s">
        <v>2960</v>
      </c>
      <c r="D416" s="752" t="s">
        <v>765</v>
      </c>
      <c r="E416" s="752" t="s">
        <v>2452</v>
      </c>
      <c r="F416" s="751">
        <v>61350</v>
      </c>
      <c r="G416" s="752" t="s">
        <v>83</v>
      </c>
      <c r="H416" s="752" t="s">
        <v>1245</v>
      </c>
      <c r="I416" s="752" t="s">
        <v>60</v>
      </c>
      <c r="J416" s="751">
        <v>22</v>
      </c>
      <c r="K416" s="751">
        <v>2</v>
      </c>
      <c r="L416" s="752" t="s">
        <v>54</v>
      </c>
      <c r="M416" s="752" t="s">
        <v>37</v>
      </c>
      <c r="N416" s="752" t="s">
        <v>38</v>
      </c>
      <c r="O416" s="752" t="s">
        <v>39</v>
      </c>
      <c r="P416" s="752" t="s">
        <v>1238</v>
      </c>
      <c r="Q416" s="753">
        <v>0</v>
      </c>
      <c r="R416" s="753">
        <v>0</v>
      </c>
      <c r="S416" s="753">
        <v>88523</v>
      </c>
      <c r="T416" s="753">
        <v>88523</v>
      </c>
      <c r="U416" s="753">
        <v>9942</v>
      </c>
      <c r="V416" s="751">
        <v>2019</v>
      </c>
      <c r="W416" s="222"/>
      <c r="X416" s="186"/>
      <c r="Y416" s="178" t="str">
        <f t="shared" si="19"/>
        <v/>
      </c>
      <c r="Z416" s="178" t="str">
        <f t="shared" si="20"/>
        <v/>
      </c>
      <c r="AA416" s="44"/>
      <c r="AB416" s="65"/>
    </row>
    <row r="417" spans="1:28" ht="25" hidden="1">
      <c r="A417" s="751">
        <v>6388</v>
      </c>
      <c r="B417" s="752" t="s">
        <v>35</v>
      </c>
      <c r="C417" s="751" t="s">
        <v>2960</v>
      </c>
      <c r="D417" s="752" t="s">
        <v>766</v>
      </c>
      <c r="E417" s="752" t="s">
        <v>1246</v>
      </c>
      <c r="F417" s="751">
        <v>58185</v>
      </c>
      <c r="G417" s="752" t="s">
        <v>83</v>
      </c>
      <c r="H417" s="752" t="s">
        <v>1245</v>
      </c>
      <c r="I417" s="752" t="s">
        <v>60</v>
      </c>
      <c r="J417" s="751">
        <v>22</v>
      </c>
      <c r="K417" s="751">
        <v>2</v>
      </c>
      <c r="L417" s="752" t="s">
        <v>54</v>
      </c>
      <c r="M417" s="752" t="s">
        <v>37</v>
      </c>
      <c r="N417" s="752" t="s">
        <v>38</v>
      </c>
      <c r="O417" s="752" t="s">
        <v>39</v>
      </c>
      <c r="P417" s="752" t="s">
        <v>1238</v>
      </c>
      <c r="Q417" s="753">
        <v>0</v>
      </c>
      <c r="R417" s="753">
        <v>0</v>
      </c>
      <c r="S417" s="753">
        <v>218656</v>
      </c>
      <c r="T417" s="753">
        <v>218656</v>
      </c>
      <c r="U417" s="753">
        <v>24557</v>
      </c>
      <c r="V417" s="751">
        <v>2019</v>
      </c>
      <c r="W417" s="222"/>
      <c r="X417" s="186"/>
      <c r="Y417" s="178" t="str">
        <f t="shared" si="19"/>
        <v/>
      </c>
      <c r="Z417" s="178" t="str">
        <f t="shared" si="20"/>
        <v/>
      </c>
      <c r="AA417" s="44"/>
      <c r="AB417" s="65"/>
    </row>
    <row r="418" spans="1:28" hidden="1">
      <c r="A418" s="751">
        <v>6450</v>
      </c>
      <c r="B418" s="752" t="s">
        <v>35</v>
      </c>
      <c r="C418" s="751" t="s">
        <v>2960</v>
      </c>
      <c r="D418" s="752" t="s">
        <v>767</v>
      </c>
      <c r="E418" s="752" t="s">
        <v>137</v>
      </c>
      <c r="F418" s="751">
        <v>7601</v>
      </c>
      <c r="G418" s="752" t="s">
        <v>91</v>
      </c>
      <c r="H418" s="752" t="s">
        <v>1245</v>
      </c>
      <c r="I418" s="752" t="s">
        <v>60</v>
      </c>
      <c r="J418" s="751">
        <v>22</v>
      </c>
      <c r="K418" s="751">
        <v>1</v>
      </c>
      <c r="L418" s="752" t="s">
        <v>36</v>
      </c>
      <c r="M418" s="752" t="s">
        <v>37</v>
      </c>
      <c r="N418" s="752" t="s">
        <v>38</v>
      </c>
      <c r="O418" s="752" t="s">
        <v>39</v>
      </c>
      <c r="P418" s="752" t="s">
        <v>1238</v>
      </c>
      <c r="Q418" s="753">
        <v>0</v>
      </c>
      <c r="R418" s="753">
        <v>0</v>
      </c>
      <c r="S418" s="753">
        <v>277590</v>
      </c>
      <c r="T418" s="753">
        <v>277590</v>
      </c>
      <c r="U418" s="753">
        <v>31176</v>
      </c>
      <c r="V418" s="751">
        <v>2019</v>
      </c>
      <c r="W418" s="222"/>
      <c r="X418" s="186"/>
      <c r="Y418" s="178" t="str">
        <f t="shared" si="19"/>
        <v/>
      </c>
      <c r="Z418" s="178" t="str">
        <f t="shared" si="20"/>
        <v/>
      </c>
      <c r="AA418" s="44"/>
      <c r="AB418" s="65"/>
    </row>
    <row r="419" spans="1:28" hidden="1">
      <c r="A419" s="751">
        <v>6451</v>
      </c>
      <c r="B419" s="752" t="s">
        <v>35</v>
      </c>
      <c r="C419" s="751" t="s">
        <v>2960</v>
      </c>
      <c r="D419" s="752" t="s">
        <v>769</v>
      </c>
      <c r="E419" s="752" t="s">
        <v>137</v>
      </c>
      <c r="F419" s="751">
        <v>7601</v>
      </c>
      <c r="G419" s="752" t="s">
        <v>91</v>
      </c>
      <c r="H419" s="752" t="s">
        <v>1245</v>
      </c>
      <c r="I419" s="752" t="s">
        <v>60</v>
      </c>
      <c r="J419" s="751">
        <v>22</v>
      </c>
      <c r="K419" s="751">
        <v>1</v>
      </c>
      <c r="L419" s="752" t="s">
        <v>36</v>
      </c>
      <c r="M419" s="752" t="s">
        <v>37</v>
      </c>
      <c r="N419" s="752" t="s">
        <v>38</v>
      </c>
      <c r="O419" s="752" t="s">
        <v>39</v>
      </c>
      <c r="P419" s="752" t="s">
        <v>1238</v>
      </c>
      <c r="Q419" s="753">
        <v>0</v>
      </c>
      <c r="R419" s="753">
        <v>0</v>
      </c>
      <c r="S419" s="753">
        <v>174650</v>
      </c>
      <c r="T419" s="753">
        <v>174650</v>
      </c>
      <c r="U419" s="753">
        <v>19615</v>
      </c>
      <c r="V419" s="751">
        <v>2019</v>
      </c>
      <c r="W419" s="222"/>
      <c r="X419" s="186"/>
      <c r="Y419" s="178" t="str">
        <f t="shared" si="19"/>
        <v/>
      </c>
      <c r="Z419" s="178" t="str">
        <f t="shared" si="20"/>
        <v/>
      </c>
      <c r="AA419" s="44"/>
      <c r="AB419" s="65"/>
    </row>
    <row r="420" spans="1:28" hidden="1">
      <c r="A420" s="751">
        <v>6456</v>
      </c>
      <c r="B420" s="752" t="s">
        <v>35</v>
      </c>
      <c r="C420" s="751" t="s">
        <v>2960</v>
      </c>
      <c r="D420" s="752" t="s">
        <v>770</v>
      </c>
      <c r="E420" s="752" t="s">
        <v>137</v>
      </c>
      <c r="F420" s="751">
        <v>7601</v>
      </c>
      <c r="G420" s="752" t="s">
        <v>59</v>
      </c>
      <c r="H420" s="752" t="s">
        <v>1244</v>
      </c>
      <c r="I420" s="752" t="s">
        <v>60</v>
      </c>
      <c r="J420" s="751">
        <v>22</v>
      </c>
      <c r="K420" s="751">
        <v>1</v>
      </c>
      <c r="L420" s="752" t="s">
        <v>36</v>
      </c>
      <c r="M420" s="752" t="s">
        <v>37</v>
      </c>
      <c r="N420" s="752" t="s">
        <v>38</v>
      </c>
      <c r="O420" s="752" t="s">
        <v>39</v>
      </c>
      <c r="P420" s="752" t="s">
        <v>1238</v>
      </c>
      <c r="Q420" s="753">
        <v>0</v>
      </c>
      <c r="R420" s="753">
        <v>0</v>
      </c>
      <c r="S420" s="753">
        <v>69993</v>
      </c>
      <c r="T420" s="753">
        <v>69993</v>
      </c>
      <c r="U420" s="753">
        <v>7861</v>
      </c>
      <c r="V420" s="751">
        <v>2019</v>
      </c>
      <c r="W420" s="222"/>
      <c r="X420" s="186"/>
      <c r="Y420" s="178" t="str">
        <f t="shared" si="19"/>
        <v/>
      </c>
      <c r="Z420" s="178" t="str">
        <f t="shared" si="20"/>
        <v/>
      </c>
      <c r="AA420" s="44"/>
      <c r="AB420" s="65"/>
    </row>
    <row r="421" spans="1:28" hidden="1">
      <c r="A421" s="751">
        <v>6475</v>
      </c>
      <c r="B421" s="752" t="s">
        <v>35</v>
      </c>
      <c r="C421" s="751" t="s">
        <v>2960</v>
      </c>
      <c r="D421" s="752" t="s">
        <v>771</v>
      </c>
      <c r="E421" s="752" t="s">
        <v>137</v>
      </c>
      <c r="F421" s="751">
        <v>7601</v>
      </c>
      <c r="G421" s="752" t="s">
        <v>91</v>
      </c>
      <c r="H421" s="752" t="s">
        <v>1245</v>
      </c>
      <c r="I421" s="752" t="s">
        <v>60</v>
      </c>
      <c r="J421" s="751">
        <v>22</v>
      </c>
      <c r="K421" s="751">
        <v>1</v>
      </c>
      <c r="L421" s="752" t="s">
        <v>36</v>
      </c>
      <c r="M421" s="752" t="s">
        <v>37</v>
      </c>
      <c r="N421" s="752" t="s">
        <v>38</v>
      </c>
      <c r="O421" s="752" t="s">
        <v>39</v>
      </c>
      <c r="P421" s="752" t="s">
        <v>1238</v>
      </c>
      <c r="Q421" s="753">
        <v>0</v>
      </c>
      <c r="R421" s="753">
        <v>0</v>
      </c>
      <c r="S421" s="753">
        <v>113090</v>
      </c>
      <c r="T421" s="753">
        <v>113090</v>
      </c>
      <c r="U421" s="753">
        <v>12701</v>
      </c>
      <c r="V421" s="751">
        <v>2019</v>
      </c>
      <c r="W421" s="222"/>
      <c r="X421" s="186"/>
      <c r="Y421" s="178" t="str">
        <f t="shared" si="19"/>
        <v/>
      </c>
      <c r="Z421" s="178" t="str">
        <f t="shared" si="20"/>
        <v/>
      </c>
      <c r="AA421" s="44"/>
      <c r="AB421" s="65"/>
    </row>
    <row r="422" spans="1:28" hidden="1">
      <c r="A422" s="751">
        <v>6483</v>
      </c>
      <c r="B422" s="752" t="s">
        <v>35</v>
      </c>
      <c r="C422" s="751" t="s">
        <v>2960</v>
      </c>
      <c r="D422" s="752" t="s">
        <v>772</v>
      </c>
      <c r="E422" s="752" t="s">
        <v>2248</v>
      </c>
      <c r="F422" s="751">
        <v>61122</v>
      </c>
      <c r="G422" s="752" t="s">
        <v>91</v>
      </c>
      <c r="H422" s="752" t="s">
        <v>1245</v>
      </c>
      <c r="I422" s="752" t="s">
        <v>60</v>
      </c>
      <c r="J422" s="751">
        <v>22</v>
      </c>
      <c r="K422" s="751">
        <v>2</v>
      </c>
      <c r="L422" s="752" t="s">
        <v>54</v>
      </c>
      <c r="M422" s="752" t="s">
        <v>37</v>
      </c>
      <c r="N422" s="752" t="s">
        <v>38</v>
      </c>
      <c r="O422" s="752" t="s">
        <v>39</v>
      </c>
      <c r="P422" s="752" t="s">
        <v>1238</v>
      </c>
      <c r="Q422" s="753">
        <v>0</v>
      </c>
      <c r="R422" s="753">
        <v>0</v>
      </c>
      <c r="S422" s="753">
        <v>433199</v>
      </c>
      <c r="T422" s="753">
        <v>433199</v>
      </c>
      <c r="U422" s="753">
        <v>48652</v>
      </c>
      <c r="V422" s="751">
        <v>2019</v>
      </c>
      <c r="W422" s="222"/>
      <c r="X422" s="186"/>
      <c r="Y422" s="178" t="str">
        <f t="shared" si="19"/>
        <v/>
      </c>
      <c r="Z422" s="178" t="str">
        <f t="shared" si="20"/>
        <v/>
      </c>
      <c r="AA422" s="44"/>
      <c r="AB422" s="65"/>
    </row>
    <row r="423" spans="1:28" hidden="1">
      <c r="A423" s="751">
        <v>6486</v>
      </c>
      <c r="B423" s="752" t="s">
        <v>35</v>
      </c>
      <c r="C423" s="751" t="s">
        <v>2960</v>
      </c>
      <c r="D423" s="752" t="s">
        <v>773</v>
      </c>
      <c r="E423" s="752" t="s">
        <v>601</v>
      </c>
      <c r="F423" s="751">
        <v>13511</v>
      </c>
      <c r="G423" s="752" t="s">
        <v>59</v>
      </c>
      <c r="H423" s="752" t="s">
        <v>1244</v>
      </c>
      <c r="I423" s="752" t="s">
        <v>60</v>
      </c>
      <c r="J423" s="751">
        <v>22</v>
      </c>
      <c r="K423" s="751">
        <v>1</v>
      </c>
      <c r="L423" s="752" t="s">
        <v>36</v>
      </c>
      <c r="M423" s="752" t="s">
        <v>37</v>
      </c>
      <c r="N423" s="752" t="s">
        <v>38</v>
      </c>
      <c r="O423" s="752" t="s">
        <v>39</v>
      </c>
      <c r="P423" s="752" t="s">
        <v>1238</v>
      </c>
      <c r="Q423" s="753">
        <v>0</v>
      </c>
      <c r="R423" s="753">
        <v>0</v>
      </c>
      <c r="S423" s="753">
        <v>238395</v>
      </c>
      <c r="T423" s="753">
        <v>238395</v>
      </c>
      <c r="U423" s="753">
        <v>26774</v>
      </c>
      <c r="V423" s="751">
        <v>2019</v>
      </c>
      <c r="W423" s="222"/>
      <c r="X423" s="186"/>
      <c r="Y423" s="178" t="str">
        <f t="shared" si="19"/>
        <v/>
      </c>
      <c r="Z423" s="178" t="str">
        <f t="shared" si="20"/>
        <v/>
      </c>
      <c r="AA423" s="44"/>
      <c r="AB423" s="65"/>
    </row>
    <row r="424" spans="1:28" hidden="1">
      <c r="A424" s="751">
        <v>6519</v>
      </c>
      <c r="B424" s="752" t="s">
        <v>35</v>
      </c>
      <c r="C424" s="751" t="s">
        <v>2960</v>
      </c>
      <c r="D424" s="752" t="s">
        <v>774</v>
      </c>
      <c r="E424" s="752" t="s">
        <v>137</v>
      </c>
      <c r="F424" s="751">
        <v>7601</v>
      </c>
      <c r="G424" s="752" t="s">
        <v>91</v>
      </c>
      <c r="H424" s="752" t="s">
        <v>1245</v>
      </c>
      <c r="I424" s="752" t="s">
        <v>60</v>
      </c>
      <c r="J424" s="751">
        <v>22</v>
      </c>
      <c r="K424" s="751">
        <v>1</v>
      </c>
      <c r="L424" s="752" t="s">
        <v>36</v>
      </c>
      <c r="M424" s="752" t="s">
        <v>37</v>
      </c>
      <c r="N424" s="752" t="s">
        <v>38</v>
      </c>
      <c r="O424" s="752" t="s">
        <v>39</v>
      </c>
      <c r="P424" s="752" t="s">
        <v>1238</v>
      </c>
      <c r="Q424" s="753">
        <v>0</v>
      </c>
      <c r="R424" s="753">
        <v>0</v>
      </c>
      <c r="S424" s="753">
        <v>52140</v>
      </c>
      <c r="T424" s="753">
        <v>52140</v>
      </c>
      <c r="U424" s="753">
        <v>5856</v>
      </c>
      <c r="V424" s="751">
        <v>2019</v>
      </c>
      <c r="W424" s="222"/>
      <c r="X424" s="186"/>
      <c r="Y424" s="178" t="str">
        <f t="shared" si="19"/>
        <v/>
      </c>
      <c r="Z424" s="178" t="str">
        <f t="shared" si="20"/>
        <v/>
      </c>
      <c r="AA424" s="44"/>
      <c r="AB424" s="65"/>
    </row>
    <row r="425" spans="1:28" s="154" customFormat="1" hidden="1">
      <c r="A425" s="751">
        <v>6519</v>
      </c>
      <c r="B425" s="752" t="s">
        <v>35</v>
      </c>
      <c r="C425" s="751" t="s">
        <v>2960</v>
      </c>
      <c r="D425" s="752" t="s">
        <v>774</v>
      </c>
      <c r="E425" s="752" t="s">
        <v>137</v>
      </c>
      <c r="F425" s="751">
        <v>7601</v>
      </c>
      <c r="G425" s="752" t="s">
        <v>91</v>
      </c>
      <c r="H425" s="752" t="s">
        <v>1245</v>
      </c>
      <c r="I425" s="752" t="s">
        <v>60</v>
      </c>
      <c r="J425" s="751">
        <v>22</v>
      </c>
      <c r="K425" s="751">
        <v>1</v>
      </c>
      <c r="L425" s="752" t="s">
        <v>36</v>
      </c>
      <c r="M425" s="752" t="s">
        <v>53</v>
      </c>
      <c r="N425" s="752" t="s">
        <v>48</v>
      </c>
      <c r="O425" s="752" t="s">
        <v>48</v>
      </c>
      <c r="P425" s="752" t="s">
        <v>49</v>
      </c>
      <c r="Q425" s="753">
        <v>46</v>
      </c>
      <c r="R425" s="753">
        <v>46</v>
      </c>
      <c r="S425" s="753">
        <v>267</v>
      </c>
      <c r="T425" s="753">
        <v>267</v>
      </c>
      <c r="U425" s="753">
        <v>29</v>
      </c>
      <c r="V425" s="751">
        <v>2019</v>
      </c>
      <c r="W425" s="222"/>
      <c r="X425" s="186"/>
      <c r="Y425" s="178" t="str">
        <f t="shared" si="19"/>
        <v/>
      </c>
      <c r="Z425" s="178" t="str">
        <f t="shared" si="20"/>
        <v/>
      </c>
      <c r="AA425" s="44"/>
      <c r="AB425" s="179"/>
    </row>
    <row r="426" spans="1:28" hidden="1">
      <c r="A426" s="751">
        <v>6520</v>
      </c>
      <c r="B426" s="752" t="s">
        <v>35</v>
      </c>
      <c r="C426" s="751" t="s">
        <v>2960</v>
      </c>
      <c r="D426" s="752" t="s">
        <v>775</v>
      </c>
      <c r="E426" s="752" t="s">
        <v>137</v>
      </c>
      <c r="F426" s="751">
        <v>7601</v>
      </c>
      <c r="G426" s="752" t="s">
        <v>91</v>
      </c>
      <c r="H426" s="752" t="s">
        <v>1245</v>
      </c>
      <c r="I426" s="752" t="s">
        <v>60</v>
      </c>
      <c r="J426" s="751">
        <v>22</v>
      </c>
      <c r="K426" s="751">
        <v>1</v>
      </c>
      <c r="L426" s="752" t="s">
        <v>36</v>
      </c>
      <c r="M426" s="752" t="s">
        <v>37</v>
      </c>
      <c r="N426" s="752" t="s">
        <v>38</v>
      </c>
      <c r="O426" s="752" t="s">
        <v>39</v>
      </c>
      <c r="P426" s="752" t="s">
        <v>1238</v>
      </c>
      <c r="Q426" s="753">
        <v>0</v>
      </c>
      <c r="R426" s="753">
        <v>0</v>
      </c>
      <c r="S426" s="753">
        <v>158678</v>
      </c>
      <c r="T426" s="753">
        <v>158678</v>
      </c>
      <c r="U426" s="753">
        <v>17821</v>
      </c>
      <c r="V426" s="751">
        <v>2019</v>
      </c>
      <c r="W426" s="222"/>
      <c r="X426" s="186"/>
      <c r="Y426" s="178" t="str">
        <f t="shared" si="19"/>
        <v/>
      </c>
      <c r="Z426" s="178" t="str">
        <f t="shared" si="20"/>
        <v/>
      </c>
      <c r="AA426" s="44"/>
      <c r="AB426" s="65"/>
    </row>
    <row r="427" spans="1:28" s="154" customFormat="1" hidden="1">
      <c r="A427" s="751">
        <v>6526</v>
      </c>
      <c r="B427" s="752" t="s">
        <v>35</v>
      </c>
      <c r="C427" s="751" t="s">
        <v>2960</v>
      </c>
      <c r="D427" s="752" t="s">
        <v>1662</v>
      </c>
      <c r="E427" s="752" t="s">
        <v>601</v>
      </c>
      <c r="F427" s="751">
        <v>13511</v>
      </c>
      <c r="G427" s="752" t="s">
        <v>59</v>
      </c>
      <c r="H427" s="752" t="s">
        <v>1244</v>
      </c>
      <c r="I427" s="752" t="s">
        <v>60</v>
      </c>
      <c r="J427" s="751">
        <v>22</v>
      </c>
      <c r="K427" s="751">
        <v>1</v>
      </c>
      <c r="L427" s="752" t="s">
        <v>36</v>
      </c>
      <c r="M427" s="752" t="s">
        <v>37</v>
      </c>
      <c r="N427" s="752" t="s">
        <v>38</v>
      </c>
      <c r="O427" s="752" t="s">
        <v>39</v>
      </c>
      <c r="P427" s="752" t="s">
        <v>1238</v>
      </c>
      <c r="Q427" s="753">
        <v>0</v>
      </c>
      <c r="R427" s="753">
        <v>0</v>
      </c>
      <c r="S427" s="753">
        <v>9910</v>
      </c>
      <c r="T427" s="753">
        <v>9910</v>
      </c>
      <c r="U427" s="753">
        <v>1113</v>
      </c>
      <c r="V427" s="751">
        <v>2019</v>
      </c>
      <c r="W427" s="222"/>
      <c r="X427" s="186"/>
      <c r="Y427" s="178" t="str">
        <f t="shared" si="19"/>
        <v/>
      </c>
      <c r="Z427" s="178" t="str">
        <f t="shared" si="20"/>
        <v/>
      </c>
      <c r="AA427" s="44"/>
      <c r="AB427" s="179"/>
    </row>
    <row r="428" spans="1:28" s="154" customFormat="1" hidden="1">
      <c r="A428" s="751">
        <v>6527</v>
      </c>
      <c r="B428" s="752" t="s">
        <v>35</v>
      </c>
      <c r="C428" s="751" t="s">
        <v>2960</v>
      </c>
      <c r="D428" s="752" t="s">
        <v>776</v>
      </c>
      <c r="E428" s="752" t="s">
        <v>123</v>
      </c>
      <c r="F428" s="751">
        <v>5914</v>
      </c>
      <c r="G428" s="752" t="s">
        <v>59</v>
      </c>
      <c r="H428" s="752" t="s">
        <v>1244</v>
      </c>
      <c r="I428" s="752" t="s">
        <v>60</v>
      </c>
      <c r="J428" s="751">
        <v>22</v>
      </c>
      <c r="K428" s="751">
        <v>2</v>
      </c>
      <c r="L428" s="752" t="s">
        <v>54</v>
      </c>
      <c r="M428" s="752" t="s">
        <v>37</v>
      </c>
      <c r="N428" s="752" t="s">
        <v>38</v>
      </c>
      <c r="O428" s="752" t="s">
        <v>39</v>
      </c>
      <c r="P428" s="752" t="s">
        <v>1238</v>
      </c>
      <c r="Q428" s="753">
        <v>0</v>
      </c>
      <c r="R428" s="753">
        <v>0</v>
      </c>
      <c r="S428" s="753">
        <v>903459</v>
      </c>
      <c r="T428" s="753">
        <v>903459</v>
      </c>
      <c r="U428" s="753">
        <v>101467</v>
      </c>
      <c r="V428" s="751">
        <v>2019</v>
      </c>
      <c r="W428" s="222"/>
      <c r="X428" s="186"/>
      <c r="Y428" s="178" t="str">
        <f t="shared" si="19"/>
        <v/>
      </c>
      <c r="Z428" s="178" t="str">
        <f t="shared" si="20"/>
        <v/>
      </c>
      <c r="AA428" s="44"/>
      <c r="AB428" s="179"/>
    </row>
    <row r="429" spans="1:28" hidden="1">
      <c r="A429" s="751">
        <v>6529</v>
      </c>
      <c r="B429" s="752" t="s">
        <v>35</v>
      </c>
      <c r="C429" s="751" t="s">
        <v>2960</v>
      </c>
      <c r="D429" s="752" t="s">
        <v>777</v>
      </c>
      <c r="E429" s="752" t="s">
        <v>2248</v>
      </c>
      <c r="F429" s="751">
        <v>61122</v>
      </c>
      <c r="G429" s="752" t="s">
        <v>91</v>
      </c>
      <c r="H429" s="752" t="s">
        <v>1245</v>
      </c>
      <c r="I429" s="752" t="s">
        <v>60</v>
      </c>
      <c r="J429" s="751">
        <v>22</v>
      </c>
      <c r="K429" s="751">
        <v>2</v>
      </c>
      <c r="L429" s="752" t="s">
        <v>54</v>
      </c>
      <c r="M429" s="752" t="s">
        <v>37</v>
      </c>
      <c r="N429" s="752" t="s">
        <v>38</v>
      </c>
      <c r="O429" s="752" t="s">
        <v>39</v>
      </c>
      <c r="P429" s="752" t="s">
        <v>1238</v>
      </c>
      <c r="Q429" s="753">
        <v>0</v>
      </c>
      <c r="R429" s="753">
        <v>0</v>
      </c>
      <c r="S429" s="753">
        <v>172657</v>
      </c>
      <c r="T429" s="753">
        <v>172657</v>
      </c>
      <c r="U429" s="753">
        <v>19391</v>
      </c>
      <c r="V429" s="751">
        <v>2019</v>
      </c>
      <c r="W429" s="222"/>
      <c r="X429" s="186">
        <f>IF(OR(K429&gt;3,T429=0,NOT(U429&gt;0)),"",T429/U429)</f>
        <v>8.903976071373318</v>
      </c>
      <c r="Y429" s="178" t="str">
        <f t="shared" si="19"/>
        <v/>
      </c>
      <c r="Z429" s="178" t="str">
        <f t="shared" si="20"/>
        <v/>
      </c>
      <c r="AA429" s="44"/>
      <c r="AB429" s="65"/>
    </row>
    <row r="430" spans="1:28" hidden="1">
      <c r="A430" s="751">
        <v>6567</v>
      </c>
      <c r="B430" s="752" t="s">
        <v>35</v>
      </c>
      <c r="C430" s="751" t="s">
        <v>2960</v>
      </c>
      <c r="D430" s="752" t="s">
        <v>778</v>
      </c>
      <c r="E430" s="752" t="s">
        <v>2968</v>
      </c>
      <c r="F430" s="751">
        <v>1857</v>
      </c>
      <c r="G430" s="752" t="s">
        <v>136</v>
      </c>
      <c r="H430" s="752" t="s">
        <v>1245</v>
      </c>
      <c r="I430" s="752" t="s">
        <v>60</v>
      </c>
      <c r="J430" s="751">
        <v>22</v>
      </c>
      <c r="K430" s="751">
        <v>1</v>
      </c>
      <c r="L430" s="752" t="s">
        <v>36</v>
      </c>
      <c r="M430" s="752" t="s">
        <v>53</v>
      </c>
      <c r="N430" s="752" t="s">
        <v>48</v>
      </c>
      <c r="O430" s="752" t="s">
        <v>48</v>
      </c>
      <c r="P430" s="752" t="s">
        <v>49</v>
      </c>
      <c r="Q430" s="753">
        <v>192</v>
      </c>
      <c r="R430" s="753">
        <v>192</v>
      </c>
      <c r="S430" s="753">
        <v>1132</v>
      </c>
      <c r="T430" s="753">
        <v>1132</v>
      </c>
      <c r="U430" s="753">
        <v>83</v>
      </c>
      <c r="V430" s="751">
        <v>2019</v>
      </c>
      <c r="W430" s="222"/>
      <c r="X430" s="186">
        <f>IF(OR(K430&gt;3,T430=0,NOT(U430&gt;0)),"",T430/U430)</f>
        <v>13.638554216867471</v>
      </c>
      <c r="Y430" s="178" t="str">
        <f t="shared" si="19"/>
        <v/>
      </c>
      <c r="Z430" s="178" t="str">
        <f t="shared" si="20"/>
        <v/>
      </c>
      <c r="AA430" s="44"/>
      <c r="AB430" s="65"/>
    </row>
    <row r="431" spans="1:28" hidden="1">
      <c r="A431" s="751">
        <v>6586</v>
      </c>
      <c r="B431" s="752" t="s">
        <v>35</v>
      </c>
      <c r="C431" s="751" t="s">
        <v>2960</v>
      </c>
      <c r="D431" s="752" t="s">
        <v>779</v>
      </c>
      <c r="E431" s="752" t="s">
        <v>1100</v>
      </c>
      <c r="F431" s="751">
        <v>11624</v>
      </c>
      <c r="G431" s="752" t="s">
        <v>83</v>
      </c>
      <c r="H431" s="752" t="s">
        <v>1245</v>
      </c>
      <c r="I431" s="752" t="s">
        <v>60</v>
      </c>
      <c r="J431" s="751">
        <v>22</v>
      </c>
      <c r="K431" s="751">
        <v>1</v>
      </c>
      <c r="L431" s="752" t="s">
        <v>36</v>
      </c>
      <c r="M431" s="752" t="s">
        <v>53</v>
      </c>
      <c r="N431" s="752" t="s">
        <v>48</v>
      </c>
      <c r="O431" s="752" t="s">
        <v>48</v>
      </c>
      <c r="P431" s="752" t="s">
        <v>49</v>
      </c>
      <c r="Q431" s="753">
        <v>19</v>
      </c>
      <c r="R431" s="753">
        <v>19</v>
      </c>
      <c r="S431" s="753">
        <v>114</v>
      </c>
      <c r="T431" s="753">
        <v>114</v>
      </c>
      <c r="U431" s="753">
        <v>6</v>
      </c>
      <c r="V431" s="751">
        <v>2019</v>
      </c>
      <c r="W431" s="222"/>
      <c r="X431" s="186"/>
      <c r="Y431" s="178" t="str">
        <f t="shared" si="19"/>
        <v/>
      </c>
      <c r="Z431" s="178" t="str">
        <f t="shared" si="20"/>
        <v/>
      </c>
      <c r="AA431" s="44"/>
      <c r="AB431" s="65"/>
    </row>
    <row r="432" spans="1:28" hidden="1">
      <c r="A432" s="751">
        <v>6618</v>
      </c>
      <c r="B432" s="752" t="s">
        <v>35</v>
      </c>
      <c r="C432" s="751" t="s">
        <v>2960</v>
      </c>
      <c r="D432" s="752" t="s">
        <v>780</v>
      </c>
      <c r="E432" s="752" t="s">
        <v>1101</v>
      </c>
      <c r="F432" s="751">
        <v>18371</v>
      </c>
      <c r="G432" s="752" t="s">
        <v>91</v>
      </c>
      <c r="H432" s="752" t="s">
        <v>1245</v>
      </c>
      <c r="I432" s="752" t="s">
        <v>60</v>
      </c>
      <c r="J432" s="751">
        <v>22</v>
      </c>
      <c r="K432" s="751">
        <v>1</v>
      </c>
      <c r="L432" s="752" t="s">
        <v>36</v>
      </c>
      <c r="M432" s="752" t="s">
        <v>37</v>
      </c>
      <c r="N432" s="752" t="s">
        <v>38</v>
      </c>
      <c r="O432" s="752" t="s">
        <v>39</v>
      </c>
      <c r="P432" s="752" t="s">
        <v>1238</v>
      </c>
      <c r="Q432" s="753">
        <v>0</v>
      </c>
      <c r="R432" s="753">
        <v>0</v>
      </c>
      <c r="S432" s="753">
        <v>442127</v>
      </c>
      <c r="T432" s="753">
        <v>442127</v>
      </c>
      <c r="U432" s="753">
        <v>49655</v>
      </c>
      <c r="V432" s="751">
        <v>2019</v>
      </c>
      <c r="W432" s="222"/>
      <c r="X432" s="186"/>
      <c r="Y432" s="178" t="str">
        <f t="shared" si="19"/>
        <v/>
      </c>
      <c r="Z432" s="178" t="str">
        <f t="shared" si="20"/>
        <v/>
      </c>
      <c r="AA432" s="44"/>
      <c r="AB432" s="65"/>
    </row>
    <row r="433" spans="1:28" hidden="1">
      <c r="A433" s="751">
        <v>6635</v>
      </c>
      <c r="B433" s="752" t="s">
        <v>35</v>
      </c>
      <c r="C433" s="751" t="s">
        <v>2960</v>
      </c>
      <c r="D433" s="752" t="s">
        <v>384</v>
      </c>
      <c r="E433" s="752" t="s">
        <v>385</v>
      </c>
      <c r="F433" s="751">
        <v>4180</v>
      </c>
      <c r="G433" s="752" t="s">
        <v>43</v>
      </c>
      <c r="H433" s="752" t="s">
        <v>1245</v>
      </c>
      <c r="I433" s="752" t="s">
        <v>60</v>
      </c>
      <c r="J433" s="751">
        <v>22</v>
      </c>
      <c r="K433" s="751">
        <v>1</v>
      </c>
      <c r="L433" s="752" t="s">
        <v>36</v>
      </c>
      <c r="M433" s="752" t="s">
        <v>52</v>
      </c>
      <c r="N433" s="752" t="s">
        <v>48</v>
      </c>
      <c r="O433" s="752" t="s">
        <v>48</v>
      </c>
      <c r="P433" s="752" t="s">
        <v>49</v>
      </c>
      <c r="Q433" s="753">
        <v>892</v>
      </c>
      <c r="R433" s="753">
        <v>892</v>
      </c>
      <c r="S433" s="753">
        <v>5191</v>
      </c>
      <c r="T433" s="753">
        <v>5191</v>
      </c>
      <c r="U433" s="753">
        <v>363.30200000000002</v>
      </c>
      <c r="V433" s="751">
        <v>2019</v>
      </c>
      <c r="W433" s="222" t="s">
        <v>2666</v>
      </c>
      <c r="X433" s="186">
        <f>IF(OR(K433&gt;3,T433=0,NOT(U433&gt;0)),"",T433/U433)</f>
        <v>14.288388172925004</v>
      </c>
      <c r="Y433" s="178" t="str">
        <f t="shared" si="19"/>
        <v/>
      </c>
      <c r="Z433" s="178" t="str">
        <f t="shared" si="20"/>
        <v/>
      </c>
      <c r="AA433" s="44"/>
      <c r="AB433" s="65"/>
    </row>
    <row r="434" spans="1:28" hidden="1">
      <c r="A434" s="751">
        <v>6635</v>
      </c>
      <c r="B434" s="752" t="s">
        <v>35</v>
      </c>
      <c r="C434" s="751" t="s">
        <v>2960</v>
      </c>
      <c r="D434" s="752" t="s">
        <v>384</v>
      </c>
      <c r="E434" s="752" t="s">
        <v>385</v>
      </c>
      <c r="F434" s="751">
        <v>4180</v>
      </c>
      <c r="G434" s="752" t="s">
        <v>43</v>
      </c>
      <c r="H434" s="752" t="s">
        <v>1245</v>
      </c>
      <c r="I434" s="752" t="s">
        <v>60</v>
      </c>
      <c r="J434" s="751">
        <v>22</v>
      </c>
      <c r="K434" s="751">
        <v>1</v>
      </c>
      <c r="L434" s="752" t="s">
        <v>36</v>
      </c>
      <c r="M434" s="752" t="s">
        <v>52</v>
      </c>
      <c r="N434" s="752" t="s">
        <v>65</v>
      </c>
      <c r="O434" s="752" t="s">
        <v>66</v>
      </c>
      <c r="P434" s="752" t="s">
        <v>1091</v>
      </c>
      <c r="Q434" s="753">
        <v>0</v>
      </c>
      <c r="R434" s="753">
        <v>0</v>
      </c>
      <c r="S434" s="753">
        <v>0</v>
      </c>
      <c r="T434" s="753">
        <v>0</v>
      </c>
      <c r="U434" s="753">
        <v>0</v>
      </c>
      <c r="V434" s="751">
        <v>2019</v>
      </c>
      <c r="W434" s="222" t="s">
        <v>2666</v>
      </c>
      <c r="X434" s="186" t="str">
        <f>IF(OR(K434&gt;3,T434=0,NOT(U434&gt;0)),"",T434/U434)</f>
        <v/>
      </c>
      <c r="Y434" s="178" t="str">
        <f t="shared" si="19"/>
        <v/>
      </c>
      <c r="Z434" s="178" t="str">
        <f t="shared" si="20"/>
        <v/>
      </c>
      <c r="AA434" s="44"/>
      <c r="AB434" s="65"/>
    </row>
    <row r="435" spans="1:28" hidden="1">
      <c r="A435" s="751">
        <v>6635</v>
      </c>
      <c r="B435" s="752" t="s">
        <v>35</v>
      </c>
      <c r="C435" s="751" t="s">
        <v>2960</v>
      </c>
      <c r="D435" s="752" t="s">
        <v>384</v>
      </c>
      <c r="E435" s="752" t="s">
        <v>385</v>
      </c>
      <c r="F435" s="751">
        <v>4180</v>
      </c>
      <c r="G435" s="752" t="s">
        <v>43</v>
      </c>
      <c r="H435" s="752" t="s">
        <v>1245</v>
      </c>
      <c r="I435" s="752" t="s">
        <v>60</v>
      </c>
      <c r="J435" s="751">
        <v>22</v>
      </c>
      <c r="K435" s="751">
        <v>1</v>
      </c>
      <c r="L435" s="752" t="s">
        <v>36</v>
      </c>
      <c r="M435" s="752" t="s">
        <v>52</v>
      </c>
      <c r="N435" s="752" t="s">
        <v>41</v>
      </c>
      <c r="O435" s="752" t="s">
        <v>41</v>
      </c>
      <c r="P435" s="752" t="s">
        <v>1091</v>
      </c>
      <c r="Q435" s="753">
        <v>21681</v>
      </c>
      <c r="R435" s="753">
        <v>21681</v>
      </c>
      <c r="S435" s="753">
        <v>22267</v>
      </c>
      <c r="T435" s="753">
        <v>22267</v>
      </c>
      <c r="U435" s="753">
        <v>1594.6980000000001</v>
      </c>
      <c r="V435" s="751">
        <v>2019</v>
      </c>
      <c r="W435" s="222" t="s">
        <v>2666</v>
      </c>
      <c r="X435" s="186"/>
      <c r="Y435" s="178" t="str">
        <f t="shared" si="19"/>
        <v/>
      </c>
      <c r="Z435" s="178" t="str">
        <f t="shared" si="20"/>
        <v/>
      </c>
      <c r="AA435" s="44"/>
      <c r="AB435" s="65"/>
    </row>
    <row r="436" spans="1:28" hidden="1">
      <c r="A436" s="751">
        <v>7051</v>
      </c>
      <c r="B436" s="752" t="s">
        <v>35</v>
      </c>
      <c r="C436" s="751" t="s">
        <v>2960</v>
      </c>
      <c r="D436" s="752" t="s">
        <v>781</v>
      </c>
      <c r="E436" s="752" t="s">
        <v>1102</v>
      </c>
      <c r="F436" s="751">
        <v>20151</v>
      </c>
      <c r="G436" s="752" t="s">
        <v>91</v>
      </c>
      <c r="H436" s="752" t="s">
        <v>1245</v>
      </c>
      <c r="I436" s="752" t="s">
        <v>60</v>
      </c>
      <c r="J436" s="751">
        <v>22</v>
      </c>
      <c r="K436" s="751">
        <v>1</v>
      </c>
      <c r="L436" s="752" t="s">
        <v>36</v>
      </c>
      <c r="M436" s="752" t="s">
        <v>37</v>
      </c>
      <c r="N436" s="752" t="s">
        <v>38</v>
      </c>
      <c r="O436" s="752" t="s">
        <v>39</v>
      </c>
      <c r="P436" s="752" t="s">
        <v>1238</v>
      </c>
      <c r="Q436" s="753">
        <v>0</v>
      </c>
      <c r="R436" s="753">
        <v>0</v>
      </c>
      <c r="S436" s="753">
        <v>24140</v>
      </c>
      <c r="T436" s="753">
        <v>24140</v>
      </c>
      <c r="U436" s="753">
        <v>2711</v>
      </c>
      <c r="V436" s="751">
        <v>2019</v>
      </c>
      <c r="W436" s="222"/>
      <c r="X436" s="186"/>
      <c r="Y436" s="178" t="str">
        <f t="shared" si="19"/>
        <v/>
      </c>
      <c r="Z436" s="178" t="str">
        <f t="shared" si="20"/>
        <v/>
      </c>
      <c r="AA436" s="44"/>
      <c r="AB436" s="65"/>
    </row>
    <row r="437" spans="1:28" hidden="1">
      <c r="A437" s="751">
        <v>7056</v>
      </c>
      <c r="B437" s="752" t="s">
        <v>35</v>
      </c>
      <c r="C437" s="751" t="s">
        <v>2960</v>
      </c>
      <c r="D437" s="752" t="s">
        <v>782</v>
      </c>
      <c r="E437" s="752" t="s">
        <v>137</v>
      </c>
      <c r="F437" s="751">
        <v>7601</v>
      </c>
      <c r="G437" s="752" t="s">
        <v>91</v>
      </c>
      <c r="H437" s="752" t="s">
        <v>1245</v>
      </c>
      <c r="I437" s="752" t="s">
        <v>60</v>
      </c>
      <c r="J437" s="751">
        <v>22</v>
      </c>
      <c r="K437" s="751">
        <v>1</v>
      </c>
      <c r="L437" s="752" t="s">
        <v>36</v>
      </c>
      <c r="M437" s="752" t="s">
        <v>37</v>
      </c>
      <c r="N437" s="752" t="s">
        <v>38</v>
      </c>
      <c r="O437" s="752" t="s">
        <v>39</v>
      </c>
      <c r="P437" s="752" t="s">
        <v>1238</v>
      </c>
      <c r="Q437" s="753">
        <v>0</v>
      </c>
      <c r="R437" s="753">
        <v>0</v>
      </c>
      <c r="S437" s="753">
        <v>249693</v>
      </c>
      <c r="T437" s="753">
        <v>249693</v>
      </c>
      <c r="U437" s="753">
        <v>28043</v>
      </c>
      <c r="V437" s="751">
        <v>2019</v>
      </c>
      <c r="W437" s="222"/>
      <c r="X437" s="186">
        <f>IF(OR(K437&gt;3,T437=0,NOT(U437&gt;0)),"",T437/U437)</f>
        <v>8.9039332453731763</v>
      </c>
      <c r="Y437" s="178" t="str">
        <f t="shared" si="19"/>
        <v/>
      </c>
      <c r="Z437" s="178" t="str">
        <f t="shared" si="20"/>
        <v/>
      </c>
      <c r="AA437" s="44"/>
      <c r="AB437" s="65"/>
    </row>
    <row r="438" spans="1:28" hidden="1">
      <c r="A438" s="751">
        <v>7146</v>
      </c>
      <c r="B438" s="752" t="s">
        <v>35</v>
      </c>
      <c r="C438" s="751" t="s">
        <v>2960</v>
      </c>
      <c r="D438" s="752" t="s">
        <v>386</v>
      </c>
      <c r="E438" s="752" t="s">
        <v>654</v>
      </c>
      <c r="F438" s="751">
        <v>56505</v>
      </c>
      <c r="G438" s="752" t="s">
        <v>59</v>
      </c>
      <c r="H438" s="752" t="s">
        <v>1244</v>
      </c>
      <c r="I438" s="752" t="s">
        <v>60</v>
      </c>
      <c r="J438" s="751">
        <v>22</v>
      </c>
      <c r="K438" s="751">
        <v>1</v>
      </c>
      <c r="L438" s="752" t="s">
        <v>36</v>
      </c>
      <c r="M438" s="752" t="s">
        <v>52</v>
      </c>
      <c r="N438" s="752" t="s">
        <v>48</v>
      </c>
      <c r="O438" s="752" t="s">
        <v>48</v>
      </c>
      <c r="P438" s="752" t="s">
        <v>49</v>
      </c>
      <c r="Q438" s="753">
        <v>27537</v>
      </c>
      <c r="R438" s="753">
        <v>27537</v>
      </c>
      <c r="S438" s="753">
        <v>157704</v>
      </c>
      <c r="T438" s="753">
        <v>157704</v>
      </c>
      <c r="U438" s="753">
        <v>10763</v>
      </c>
      <c r="V438" s="751">
        <v>2019</v>
      </c>
      <c r="W438" s="222" t="s">
        <v>2666</v>
      </c>
      <c r="X438" s="186">
        <f>IF(OR(K438&gt;3,T438=0,NOT(U438&gt;0)),"",T438/U438)</f>
        <v>14.652420328904581</v>
      </c>
      <c r="Y438" s="178" t="str">
        <f t="shared" si="19"/>
        <v/>
      </c>
      <c r="Z438" s="178" t="str">
        <f t="shared" si="20"/>
        <v/>
      </c>
      <c r="AA438" s="44"/>
      <c r="AB438" s="65"/>
    </row>
    <row r="439" spans="1:28" hidden="1">
      <c r="A439" s="751">
        <v>7314</v>
      </c>
      <c r="B439" s="752" t="s">
        <v>35</v>
      </c>
      <c r="C439" s="751" t="s">
        <v>2960</v>
      </c>
      <c r="D439" s="752" t="s">
        <v>783</v>
      </c>
      <c r="E439" s="752" t="s">
        <v>58</v>
      </c>
      <c r="F439" s="751">
        <v>15296</v>
      </c>
      <c r="G439" s="752" t="s">
        <v>59</v>
      </c>
      <c r="H439" s="752" t="s">
        <v>1244</v>
      </c>
      <c r="I439" s="752" t="s">
        <v>60</v>
      </c>
      <c r="J439" s="751">
        <v>22</v>
      </c>
      <c r="K439" s="751">
        <v>1</v>
      </c>
      <c r="L439" s="752" t="s">
        <v>36</v>
      </c>
      <c r="M439" s="752" t="s">
        <v>40</v>
      </c>
      <c r="N439" s="752" t="s">
        <v>48</v>
      </c>
      <c r="O439" s="752" t="s">
        <v>48</v>
      </c>
      <c r="P439" s="752" t="s">
        <v>49</v>
      </c>
      <c r="Q439" s="753">
        <v>0</v>
      </c>
      <c r="R439" s="753">
        <v>0</v>
      </c>
      <c r="S439" s="753">
        <v>0</v>
      </c>
      <c r="T439" s="753">
        <v>0</v>
      </c>
      <c r="U439" s="753">
        <v>0</v>
      </c>
      <c r="V439" s="751">
        <v>2019</v>
      </c>
      <c r="W439" s="222" t="s">
        <v>2666</v>
      </c>
      <c r="X439" s="186"/>
      <c r="Y439" s="178" t="str">
        <f t="shared" si="19"/>
        <v/>
      </c>
      <c r="Z439" s="178" t="str">
        <f t="shared" si="20"/>
        <v/>
      </c>
      <c r="AA439" s="44"/>
      <c r="AB439" s="65"/>
    </row>
    <row r="440" spans="1:28" hidden="1">
      <c r="A440" s="751">
        <v>7314</v>
      </c>
      <c r="B440" s="752" t="s">
        <v>35</v>
      </c>
      <c r="C440" s="751" t="s">
        <v>2960</v>
      </c>
      <c r="D440" s="752" t="s">
        <v>783</v>
      </c>
      <c r="E440" s="752" t="s">
        <v>58</v>
      </c>
      <c r="F440" s="751">
        <v>15296</v>
      </c>
      <c r="G440" s="752" t="s">
        <v>59</v>
      </c>
      <c r="H440" s="752" t="s">
        <v>1244</v>
      </c>
      <c r="I440" s="752" t="s">
        <v>60</v>
      </c>
      <c r="J440" s="751">
        <v>22</v>
      </c>
      <c r="K440" s="751">
        <v>1</v>
      </c>
      <c r="L440" s="752" t="s">
        <v>36</v>
      </c>
      <c r="M440" s="752" t="s">
        <v>40</v>
      </c>
      <c r="N440" s="752" t="s">
        <v>41</v>
      </c>
      <c r="O440" s="752" t="s">
        <v>41</v>
      </c>
      <c r="P440" s="752" t="s">
        <v>1091</v>
      </c>
      <c r="Q440" s="753">
        <v>0</v>
      </c>
      <c r="R440" s="753">
        <v>0</v>
      </c>
      <c r="S440" s="753">
        <v>0</v>
      </c>
      <c r="T440" s="753">
        <v>0</v>
      </c>
      <c r="U440" s="753">
        <v>0</v>
      </c>
      <c r="V440" s="751">
        <v>2019</v>
      </c>
      <c r="W440" s="222" t="s">
        <v>2666</v>
      </c>
      <c r="X440" s="186" t="str">
        <f>IF(OR(K440&gt;3,T440=0,NOT(U440&gt;0)),"",T440/U440)</f>
        <v/>
      </c>
      <c r="Y440" s="178" t="str">
        <f t="shared" si="19"/>
        <v/>
      </c>
      <c r="Z440" s="178" t="str">
        <f t="shared" si="20"/>
        <v/>
      </c>
      <c r="AA440" s="44"/>
      <c r="AB440" s="65"/>
    </row>
    <row r="441" spans="1:28" hidden="1">
      <c r="A441" s="751">
        <v>7314</v>
      </c>
      <c r="B441" s="752" t="s">
        <v>35</v>
      </c>
      <c r="C441" s="751" t="s">
        <v>2960</v>
      </c>
      <c r="D441" s="752" t="s">
        <v>783</v>
      </c>
      <c r="E441" s="752" t="s">
        <v>58</v>
      </c>
      <c r="F441" s="751">
        <v>15296</v>
      </c>
      <c r="G441" s="752" t="s">
        <v>59</v>
      </c>
      <c r="H441" s="752" t="s">
        <v>1244</v>
      </c>
      <c r="I441" s="752" t="s">
        <v>60</v>
      </c>
      <c r="J441" s="751">
        <v>22</v>
      </c>
      <c r="K441" s="751">
        <v>1</v>
      </c>
      <c r="L441" s="752" t="s">
        <v>36</v>
      </c>
      <c r="M441" s="752" t="s">
        <v>43</v>
      </c>
      <c r="N441" s="752" t="s">
        <v>48</v>
      </c>
      <c r="O441" s="752" t="s">
        <v>48</v>
      </c>
      <c r="P441" s="752" t="s">
        <v>49</v>
      </c>
      <c r="Q441" s="753">
        <v>16646</v>
      </c>
      <c r="R441" s="753">
        <v>16646</v>
      </c>
      <c r="S441" s="753">
        <v>96247</v>
      </c>
      <c r="T441" s="753">
        <v>96247</v>
      </c>
      <c r="U441" s="753">
        <v>11088.97</v>
      </c>
      <c r="V441" s="751">
        <v>2019</v>
      </c>
      <c r="W441" s="222" t="s">
        <v>2666</v>
      </c>
      <c r="X441" s="186"/>
      <c r="Y441" s="178" t="str">
        <f t="shared" si="19"/>
        <v/>
      </c>
      <c r="Z441" s="178" t="str">
        <f t="shared" si="20"/>
        <v/>
      </c>
      <c r="AA441" s="44"/>
      <c r="AB441" s="65"/>
    </row>
    <row r="442" spans="1:28" hidden="1">
      <c r="A442" s="751">
        <v>7314</v>
      </c>
      <c r="B442" s="752" t="s">
        <v>35</v>
      </c>
      <c r="C442" s="751" t="s">
        <v>2960</v>
      </c>
      <c r="D442" s="752" t="s">
        <v>783</v>
      </c>
      <c r="E442" s="752" t="s">
        <v>58</v>
      </c>
      <c r="F442" s="751">
        <v>15296</v>
      </c>
      <c r="G442" s="752" t="s">
        <v>59</v>
      </c>
      <c r="H442" s="752" t="s">
        <v>1244</v>
      </c>
      <c r="I442" s="752" t="s">
        <v>60</v>
      </c>
      <c r="J442" s="751">
        <v>22</v>
      </c>
      <c r="K442" s="751">
        <v>1</v>
      </c>
      <c r="L442" s="752" t="s">
        <v>36</v>
      </c>
      <c r="M442" s="752" t="s">
        <v>43</v>
      </c>
      <c r="N442" s="752" t="s">
        <v>41</v>
      </c>
      <c r="O442" s="752" t="s">
        <v>41</v>
      </c>
      <c r="P442" s="752" t="s">
        <v>1091</v>
      </c>
      <c r="Q442" s="753">
        <v>3069006</v>
      </c>
      <c r="R442" s="753">
        <v>3069006</v>
      </c>
      <c r="S442" s="753">
        <v>3161674</v>
      </c>
      <c r="T442" s="753">
        <v>3161674</v>
      </c>
      <c r="U442" s="753">
        <v>374966.03</v>
      </c>
      <c r="V442" s="751">
        <v>2019</v>
      </c>
      <c r="W442" s="222" t="s">
        <v>2666</v>
      </c>
      <c r="X442" s="186">
        <f>IF(OR(K442&gt;3,T442=0,NOT(U442&gt;0)),"",T442/U442)</f>
        <v>8.4318944838816456</v>
      </c>
      <c r="Y442" s="178" t="str">
        <f t="shared" si="19"/>
        <v/>
      </c>
      <c r="Z442" s="178" t="str">
        <f t="shared" si="20"/>
        <v/>
      </c>
      <c r="AA442" s="44"/>
      <c r="AB442" s="65"/>
    </row>
    <row r="443" spans="1:28" hidden="1">
      <c r="A443" s="751">
        <v>7337</v>
      </c>
      <c r="B443" s="752" t="s">
        <v>35</v>
      </c>
      <c r="C443" s="751" t="s">
        <v>2960</v>
      </c>
      <c r="D443" s="752" t="s">
        <v>784</v>
      </c>
      <c r="E443" s="752" t="s">
        <v>768</v>
      </c>
      <c r="F443" s="751">
        <v>19794</v>
      </c>
      <c r="G443" s="752" t="s">
        <v>91</v>
      </c>
      <c r="H443" s="752" t="s">
        <v>1245</v>
      </c>
      <c r="I443" s="752" t="s">
        <v>60</v>
      </c>
      <c r="J443" s="751">
        <v>22</v>
      </c>
      <c r="K443" s="751">
        <v>1</v>
      </c>
      <c r="L443" s="752" t="s">
        <v>36</v>
      </c>
      <c r="M443" s="752" t="s">
        <v>52</v>
      </c>
      <c r="N443" s="752" t="s">
        <v>48</v>
      </c>
      <c r="O443" s="752" t="s">
        <v>48</v>
      </c>
      <c r="P443" s="752" t="s">
        <v>49</v>
      </c>
      <c r="Q443" s="753">
        <v>0</v>
      </c>
      <c r="R443" s="753">
        <v>0</v>
      </c>
      <c r="S443" s="753">
        <v>0</v>
      </c>
      <c r="T443" s="753">
        <v>0</v>
      </c>
      <c r="U443" s="753">
        <v>0</v>
      </c>
      <c r="V443" s="751">
        <v>2019</v>
      </c>
      <c r="W443" s="222"/>
      <c r="X443" s="186"/>
      <c r="Y443" s="178" t="str">
        <f t="shared" si="19"/>
        <v/>
      </c>
      <c r="Z443" s="178" t="str">
        <f t="shared" si="20"/>
        <v/>
      </c>
      <c r="AA443" s="44"/>
      <c r="AB443" s="65"/>
    </row>
    <row r="444" spans="1:28" hidden="1">
      <c r="A444" s="751">
        <v>7381</v>
      </c>
      <c r="B444" s="752" t="s">
        <v>35</v>
      </c>
      <c r="C444" s="751" t="s">
        <v>2960</v>
      </c>
      <c r="D444" s="752" t="s">
        <v>387</v>
      </c>
      <c r="E444" s="752" t="s">
        <v>137</v>
      </c>
      <c r="F444" s="751">
        <v>7601</v>
      </c>
      <c r="G444" s="752" t="s">
        <v>91</v>
      </c>
      <c r="H444" s="752" t="s">
        <v>1245</v>
      </c>
      <c r="I444" s="752" t="s">
        <v>60</v>
      </c>
      <c r="J444" s="751">
        <v>22</v>
      </c>
      <c r="K444" s="751">
        <v>1</v>
      </c>
      <c r="L444" s="752" t="s">
        <v>36</v>
      </c>
      <c r="M444" s="752" t="s">
        <v>73</v>
      </c>
      <c r="N444" s="752" t="s">
        <v>74</v>
      </c>
      <c r="O444" s="752" t="s">
        <v>74</v>
      </c>
      <c r="P444" s="752" t="s">
        <v>1238</v>
      </c>
      <c r="Q444" s="753">
        <v>0</v>
      </c>
      <c r="R444" s="753">
        <v>0</v>
      </c>
      <c r="S444" s="753">
        <v>108193</v>
      </c>
      <c r="T444" s="753">
        <v>108193</v>
      </c>
      <c r="U444" s="753">
        <v>12151</v>
      </c>
      <c r="V444" s="751">
        <v>2019</v>
      </c>
      <c r="W444" s="222"/>
      <c r="X444" s="186">
        <f>IF(OR(K444&gt;3,T444=0,NOT(U444&gt;0)),"",T444/U444)</f>
        <v>8.9040408196856227</v>
      </c>
      <c r="Y444" s="178" t="str">
        <f t="shared" si="19"/>
        <v/>
      </c>
      <c r="Z444" s="178" t="str">
        <f t="shared" si="20"/>
        <v/>
      </c>
      <c r="AA444" s="44"/>
      <c r="AB444" s="65"/>
    </row>
    <row r="445" spans="1:28" hidden="1">
      <c r="A445" s="751">
        <v>7396</v>
      </c>
      <c r="B445" s="752" t="s">
        <v>35</v>
      </c>
      <c r="C445" s="751" t="s">
        <v>2960</v>
      </c>
      <c r="D445" s="752" t="s">
        <v>785</v>
      </c>
      <c r="E445" s="752" t="s">
        <v>1161</v>
      </c>
      <c r="F445" s="751">
        <v>3477</v>
      </c>
      <c r="G445" s="752" t="s">
        <v>83</v>
      </c>
      <c r="H445" s="752" t="s">
        <v>1245</v>
      </c>
      <c r="I445" s="752" t="s">
        <v>60</v>
      </c>
      <c r="J445" s="751">
        <v>22</v>
      </c>
      <c r="K445" s="751">
        <v>1</v>
      </c>
      <c r="L445" s="752" t="s">
        <v>36</v>
      </c>
      <c r="M445" s="752" t="s">
        <v>53</v>
      </c>
      <c r="N445" s="752" t="s">
        <v>48</v>
      </c>
      <c r="O445" s="752" t="s">
        <v>48</v>
      </c>
      <c r="P445" s="752" t="s">
        <v>49</v>
      </c>
      <c r="Q445" s="753">
        <v>158</v>
      </c>
      <c r="R445" s="753">
        <v>158</v>
      </c>
      <c r="S445" s="753">
        <v>923</v>
      </c>
      <c r="T445" s="753">
        <v>923</v>
      </c>
      <c r="U445" s="753">
        <v>89</v>
      </c>
      <c r="V445" s="751">
        <v>2019</v>
      </c>
      <c r="W445" s="222"/>
      <c r="X445" s="186"/>
      <c r="Y445" s="178" t="str">
        <f t="shared" si="19"/>
        <v/>
      </c>
      <c r="Z445" s="178" t="str">
        <f t="shared" si="20"/>
        <v/>
      </c>
      <c r="AA445" s="44"/>
      <c r="AB445" s="65"/>
    </row>
    <row r="446" spans="1:28" hidden="1">
      <c r="A446" s="751">
        <v>7501</v>
      </c>
      <c r="B446" s="752" t="s">
        <v>35</v>
      </c>
      <c r="C446" s="751" t="s">
        <v>2960</v>
      </c>
      <c r="D446" s="752" t="s">
        <v>1162</v>
      </c>
      <c r="E446" s="752" t="s">
        <v>1103</v>
      </c>
      <c r="F446" s="751">
        <v>15371</v>
      </c>
      <c r="G446" s="752" t="s">
        <v>83</v>
      </c>
      <c r="H446" s="752" t="s">
        <v>1245</v>
      </c>
      <c r="I446" s="752" t="s">
        <v>60</v>
      </c>
      <c r="J446" s="751">
        <v>22</v>
      </c>
      <c r="K446" s="751">
        <v>1</v>
      </c>
      <c r="L446" s="752" t="s">
        <v>36</v>
      </c>
      <c r="M446" s="752" t="s">
        <v>73</v>
      </c>
      <c r="N446" s="752" t="s">
        <v>74</v>
      </c>
      <c r="O446" s="752" t="s">
        <v>74</v>
      </c>
      <c r="P446" s="752" t="s">
        <v>1238</v>
      </c>
      <c r="Q446" s="753">
        <v>0</v>
      </c>
      <c r="R446" s="753">
        <v>0</v>
      </c>
      <c r="S446" s="753">
        <v>32778</v>
      </c>
      <c r="T446" s="753">
        <v>32778</v>
      </c>
      <c r="U446" s="753">
        <v>3681</v>
      </c>
      <c r="V446" s="751">
        <v>2019</v>
      </c>
      <c r="W446" s="222"/>
      <c r="X446" s="186">
        <f>IF(OR(K446&gt;3,T446=0,NOT(U446&gt;0)),"",T446/U446)</f>
        <v>8.9046454767726164</v>
      </c>
      <c r="Y446" s="178" t="str">
        <f t="shared" si="19"/>
        <v/>
      </c>
      <c r="Z446" s="178" t="str">
        <f t="shared" si="20"/>
        <v/>
      </c>
      <c r="AA446" s="44"/>
      <c r="AB446" s="65"/>
    </row>
    <row r="447" spans="1:28" ht="25" hidden="1">
      <c r="A447" s="751">
        <v>7513</v>
      </c>
      <c r="B447" s="752" t="s">
        <v>35</v>
      </c>
      <c r="C447" s="751" t="s">
        <v>2960</v>
      </c>
      <c r="D447" s="752" t="s">
        <v>1163</v>
      </c>
      <c r="E447" s="752" t="s">
        <v>1164</v>
      </c>
      <c r="F447" s="751">
        <v>1984</v>
      </c>
      <c r="G447" s="752" t="s">
        <v>92</v>
      </c>
      <c r="H447" s="752" t="s">
        <v>1245</v>
      </c>
      <c r="I447" s="752" t="s">
        <v>60</v>
      </c>
      <c r="J447" s="751">
        <v>22</v>
      </c>
      <c r="K447" s="751">
        <v>2</v>
      </c>
      <c r="L447" s="752" t="s">
        <v>54</v>
      </c>
      <c r="M447" s="752" t="s">
        <v>44</v>
      </c>
      <c r="N447" s="752" t="s">
        <v>71</v>
      </c>
      <c r="O447" s="752" t="s">
        <v>72</v>
      </c>
      <c r="P447" s="752" t="s">
        <v>47</v>
      </c>
      <c r="Q447" s="753">
        <v>0</v>
      </c>
      <c r="R447" s="753">
        <v>0</v>
      </c>
      <c r="S447" s="753">
        <v>0</v>
      </c>
      <c r="T447" s="753">
        <v>0</v>
      </c>
      <c r="U447" s="753">
        <v>0</v>
      </c>
      <c r="V447" s="751">
        <v>2019</v>
      </c>
      <c r="W447" s="222"/>
      <c r="X447" s="186"/>
      <c r="Y447" s="178" t="str">
        <f t="shared" si="19"/>
        <v/>
      </c>
      <c r="Z447" s="178" t="str">
        <f t="shared" si="20"/>
        <v/>
      </c>
      <c r="AA447" s="44"/>
      <c r="AB447" s="65"/>
    </row>
    <row r="448" spans="1:28" hidden="1">
      <c r="A448" s="751">
        <v>7583</v>
      </c>
      <c r="B448" s="752" t="s">
        <v>35</v>
      </c>
      <c r="C448" s="751" t="s">
        <v>2960</v>
      </c>
      <c r="D448" s="752" t="s">
        <v>786</v>
      </c>
      <c r="E448" s="752" t="s">
        <v>123</v>
      </c>
      <c r="F448" s="751">
        <v>5914</v>
      </c>
      <c r="G448" s="752" t="s">
        <v>59</v>
      </c>
      <c r="H448" s="752" t="s">
        <v>1244</v>
      </c>
      <c r="I448" s="752" t="s">
        <v>60</v>
      </c>
      <c r="J448" s="751">
        <v>22</v>
      </c>
      <c r="K448" s="751">
        <v>2</v>
      </c>
      <c r="L448" s="752" t="s">
        <v>54</v>
      </c>
      <c r="M448" s="752" t="s">
        <v>37</v>
      </c>
      <c r="N448" s="752" t="s">
        <v>38</v>
      </c>
      <c r="O448" s="752" t="s">
        <v>39</v>
      </c>
      <c r="P448" s="752" t="s">
        <v>1238</v>
      </c>
      <c r="Q448" s="753">
        <v>0</v>
      </c>
      <c r="R448" s="753">
        <v>0</v>
      </c>
      <c r="S448" s="753">
        <v>43702</v>
      </c>
      <c r="T448" s="753">
        <v>43702</v>
      </c>
      <c r="U448" s="753">
        <v>4908</v>
      </c>
      <c r="V448" s="751">
        <v>2019</v>
      </c>
      <c r="W448" s="222"/>
      <c r="X448" s="186">
        <f t="shared" ref="X448:X457" si="21">IF(OR(K448&gt;3,T448=0,NOT(U448&gt;0)),"",T448/U448)</f>
        <v>8.9042379788101051</v>
      </c>
      <c r="Y448" s="178" t="str">
        <f t="shared" si="19"/>
        <v/>
      </c>
      <c r="Z448" s="178" t="str">
        <f t="shared" si="20"/>
        <v/>
      </c>
      <c r="AA448" s="44"/>
      <c r="AB448" s="65"/>
    </row>
    <row r="449" spans="1:28" hidden="1">
      <c r="A449" s="751">
        <v>7784</v>
      </c>
      <c r="B449" s="752" t="s">
        <v>35</v>
      </c>
      <c r="C449" s="751" t="s">
        <v>2960</v>
      </c>
      <c r="D449" s="752" t="s">
        <v>787</v>
      </c>
      <c r="E449" s="752" t="s">
        <v>1663</v>
      </c>
      <c r="F449" s="751">
        <v>58651</v>
      </c>
      <c r="G449" s="752" t="s">
        <v>59</v>
      </c>
      <c r="H449" s="752" t="s">
        <v>1244</v>
      </c>
      <c r="I449" s="752" t="s">
        <v>60</v>
      </c>
      <c r="J449" s="751">
        <v>22</v>
      </c>
      <c r="K449" s="751">
        <v>2</v>
      </c>
      <c r="L449" s="752" t="s">
        <v>54</v>
      </c>
      <c r="M449" s="752" t="s">
        <v>40</v>
      </c>
      <c r="N449" s="752" t="s">
        <v>41</v>
      </c>
      <c r="O449" s="752" t="s">
        <v>41</v>
      </c>
      <c r="P449" s="752" t="s">
        <v>1091</v>
      </c>
      <c r="Q449" s="753">
        <v>5718</v>
      </c>
      <c r="R449" s="753">
        <v>5718</v>
      </c>
      <c r="S449" s="753">
        <v>5889</v>
      </c>
      <c r="T449" s="753">
        <v>5889</v>
      </c>
      <c r="U449" s="753">
        <v>4085</v>
      </c>
      <c r="V449" s="751">
        <v>2019</v>
      </c>
      <c r="W449" s="222"/>
      <c r="X449" s="186">
        <f t="shared" si="21"/>
        <v>1.4416156670746634</v>
      </c>
      <c r="Y449" s="178" t="str">
        <f t="shared" si="19"/>
        <v/>
      </c>
      <c r="Z449" s="178" t="str">
        <f t="shared" si="20"/>
        <v/>
      </c>
      <c r="AA449" s="44"/>
      <c r="AB449" s="65"/>
    </row>
    <row r="450" spans="1:28" hidden="1">
      <c r="A450" s="751">
        <v>7784</v>
      </c>
      <c r="B450" s="752" t="s">
        <v>35</v>
      </c>
      <c r="C450" s="751" t="s">
        <v>2960</v>
      </c>
      <c r="D450" s="752" t="s">
        <v>787</v>
      </c>
      <c r="E450" s="752" t="s">
        <v>1663</v>
      </c>
      <c r="F450" s="751">
        <v>58651</v>
      </c>
      <c r="G450" s="752" t="s">
        <v>59</v>
      </c>
      <c r="H450" s="752" t="s">
        <v>1244</v>
      </c>
      <c r="I450" s="752" t="s">
        <v>60</v>
      </c>
      <c r="J450" s="751">
        <v>22</v>
      </c>
      <c r="K450" s="751">
        <v>2</v>
      </c>
      <c r="L450" s="752" t="s">
        <v>54</v>
      </c>
      <c r="M450" s="752" t="s">
        <v>43</v>
      </c>
      <c r="N450" s="752" t="s">
        <v>41</v>
      </c>
      <c r="O450" s="752" t="s">
        <v>41</v>
      </c>
      <c r="P450" s="752" t="s">
        <v>1091</v>
      </c>
      <c r="Q450" s="753">
        <v>140639</v>
      </c>
      <c r="R450" s="753">
        <v>140639</v>
      </c>
      <c r="S450" s="753">
        <v>144858</v>
      </c>
      <c r="T450" s="753">
        <v>144858</v>
      </c>
      <c r="U450" s="753">
        <v>13732</v>
      </c>
      <c r="V450" s="751">
        <v>2019</v>
      </c>
      <c r="W450" s="222"/>
      <c r="X450" s="186">
        <f t="shared" si="21"/>
        <v>10.54893678997961</v>
      </c>
      <c r="Y450" s="178" t="str">
        <f t="shared" si="19"/>
        <v/>
      </c>
      <c r="Z450" s="178" t="str">
        <f t="shared" si="20"/>
        <v/>
      </c>
      <c r="AA450" s="44"/>
      <c r="AB450" s="65"/>
    </row>
    <row r="451" spans="1:28" hidden="1">
      <c r="A451" s="751">
        <v>7869</v>
      </c>
      <c r="B451" s="752" t="s">
        <v>35</v>
      </c>
      <c r="C451" s="751" t="s">
        <v>2960</v>
      </c>
      <c r="D451" s="752" t="s">
        <v>788</v>
      </c>
      <c r="E451" s="752" t="s">
        <v>654</v>
      </c>
      <c r="F451" s="751">
        <v>56505</v>
      </c>
      <c r="G451" s="752" t="s">
        <v>59</v>
      </c>
      <c r="H451" s="752" t="s">
        <v>1244</v>
      </c>
      <c r="I451" s="752" t="s">
        <v>60</v>
      </c>
      <c r="J451" s="751">
        <v>22</v>
      </c>
      <c r="K451" s="751">
        <v>1</v>
      </c>
      <c r="L451" s="752" t="s">
        <v>36</v>
      </c>
      <c r="M451" s="752" t="s">
        <v>52</v>
      </c>
      <c r="N451" s="752" t="s">
        <v>48</v>
      </c>
      <c r="O451" s="752" t="s">
        <v>48</v>
      </c>
      <c r="P451" s="752" t="s">
        <v>49</v>
      </c>
      <c r="Q451" s="753">
        <v>0</v>
      </c>
      <c r="R451" s="753">
        <v>0</v>
      </c>
      <c r="S451" s="753">
        <v>0</v>
      </c>
      <c r="T451" s="753">
        <v>0</v>
      </c>
      <c r="U451" s="753">
        <v>0</v>
      </c>
      <c r="V451" s="751">
        <v>2019</v>
      </c>
      <c r="W451" s="222" t="s">
        <v>2666</v>
      </c>
      <c r="X451" s="186" t="str">
        <f t="shared" si="21"/>
        <v/>
      </c>
      <c r="Y451" s="178" t="str">
        <f t="shared" si="19"/>
        <v/>
      </c>
      <c r="Z451" s="178" t="str">
        <f t="shared" si="20"/>
        <v/>
      </c>
      <c r="AA451" s="44"/>
      <c r="AB451" s="65"/>
    </row>
    <row r="452" spans="1:28" hidden="1">
      <c r="A452" s="751">
        <v>7869</v>
      </c>
      <c r="B452" s="752" t="s">
        <v>35</v>
      </c>
      <c r="C452" s="751" t="s">
        <v>2960</v>
      </c>
      <c r="D452" s="752" t="s">
        <v>788</v>
      </c>
      <c r="E452" s="752" t="s">
        <v>654</v>
      </c>
      <c r="F452" s="751">
        <v>56505</v>
      </c>
      <c r="G452" s="752" t="s">
        <v>59</v>
      </c>
      <c r="H452" s="752" t="s">
        <v>1244</v>
      </c>
      <c r="I452" s="752" t="s">
        <v>60</v>
      </c>
      <c r="J452" s="751">
        <v>22</v>
      </c>
      <c r="K452" s="751">
        <v>1</v>
      </c>
      <c r="L452" s="752" t="s">
        <v>36</v>
      </c>
      <c r="M452" s="752" t="s">
        <v>52</v>
      </c>
      <c r="N452" s="752" t="s">
        <v>78</v>
      </c>
      <c r="O452" s="752" t="s">
        <v>69</v>
      </c>
      <c r="P452" s="752" t="s">
        <v>49</v>
      </c>
      <c r="Q452" s="753">
        <v>384</v>
      </c>
      <c r="R452" s="753">
        <v>384</v>
      </c>
      <c r="S452" s="753">
        <v>2200</v>
      </c>
      <c r="T452" s="753">
        <v>2200</v>
      </c>
      <c r="U452" s="753">
        <v>215.977</v>
      </c>
      <c r="V452" s="751">
        <v>2019</v>
      </c>
      <c r="W452" s="222" t="s">
        <v>2666</v>
      </c>
      <c r="X452" s="186">
        <f t="shared" si="21"/>
        <v>10.186269834287909</v>
      </c>
      <c r="Y452" s="178" t="str">
        <f t="shared" si="19"/>
        <v/>
      </c>
      <c r="Z452" s="178" t="str">
        <f t="shared" si="20"/>
        <v/>
      </c>
      <c r="AA452" s="44"/>
      <c r="AB452" s="65"/>
    </row>
    <row r="453" spans="1:28" hidden="1">
      <c r="A453" s="751">
        <v>7869</v>
      </c>
      <c r="B453" s="752" t="s">
        <v>35</v>
      </c>
      <c r="C453" s="751" t="s">
        <v>2960</v>
      </c>
      <c r="D453" s="752" t="s">
        <v>788</v>
      </c>
      <c r="E453" s="752" t="s">
        <v>654</v>
      </c>
      <c r="F453" s="751">
        <v>56505</v>
      </c>
      <c r="G453" s="752" t="s">
        <v>59</v>
      </c>
      <c r="H453" s="752" t="s">
        <v>1244</v>
      </c>
      <c r="I453" s="752" t="s">
        <v>60</v>
      </c>
      <c r="J453" s="751">
        <v>22</v>
      </c>
      <c r="K453" s="751">
        <v>1</v>
      </c>
      <c r="L453" s="752" t="s">
        <v>36</v>
      </c>
      <c r="M453" s="752" t="s">
        <v>52</v>
      </c>
      <c r="N453" s="752" t="s">
        <v>41</v>
      </c>
      <c r="O453" s="752" t="s">
        <v>41</v>
      </c>
      <c r="P453" s="752" t="s">
        <v>1091</v>
      </c>
      <c r="Q453" s="753">
        <v>789790</v>
      </c>
      <c r="R453" s="753">
        <v>789790</v>
      </c>
      <c r="S453" s="753">
        <v>813483</v>
      </c>
      <c r="T453" s="753">
        <v>813483</v>
      </c>
      <c r="U453" s="753">
        <v>79877.023000000001</v>
      </c>
      <c r="V453" s="751">
        <v>2019</v>
      </c>
      <c r="W453" s="222" t="s">
        <v>2666</v>
      </c>
      <c r="X453" s="186">
        <f t="shared" si="21"/>
        <v>10.184192768426033</v>
      </c>
      <c r="Y453" s="178" t="str">
        <f t="shared" si="19"/>
        <v/>
      </c>
      <c r="Z453" s="178" t="str">
        <f t="shared" si="20"/>
        <v/>
      </c>
      <c r="AA453" s="44"/>
      <c r="AB453" s="65"/>
    </row>
    <row r="454" spans="1:28" hidden="1">
      <c r="A454" s="751">
        <v>7909</v>
      </c>
      <c r="B454" s="752" t="s">
        <v>35</v>
      </c>
      <c r="C454" s="751" t="s">
        <v>2960</v>
      </c>
      <c r="D454" s="752" t="s">
        <v>30</v>
      </c>
      <c r="E454" s="752" t="s">
        <v>58</v>
      </c>
      <c r="F454" s="751">
        <v>15296</v>
      </c>
      <c r="G454" s="752" t="s">
        <v>59</v>
      </c>
      <c r="H454" s="752" t="s">
        <v>1244</v>
      </c>
      <c r="I454" s="752" t="s">
        <v>60</v>
      </c>
      <c r="J454" s="751">
        <v>22</v>
      </c>
      <c r="K454" s="751">
        <v>1</v>
      </c>
      <c r="L454" s="752" t="s">
        <v>36</v>
      </c>
      <c r="M454" s="752" t="s">
        <v>52</v>
      </c>
      <c r="N454" s="752" t="s">
        <v>41</v>
      </c>
      <c r="O454" s="752" t="s">
        <v>41</v>
      </c>
      <c r="P454" s="752" t="s">
        <v>1091</v>
      </c>
      <c r="Q454" s="753">
        <v>375033</v>
      </c>
      <c r="R454" s="753">
        <v>375033</v>
      </c>
      <c r="S454" s="753">
        <v>386284</v>
      </c>
      <c r="T454" s="753">
        <v>386284</v>
      </c>
      <c r="U454" s="753">
        <v>32038</v>
      </c>
      <c r="V454" s="751">
        <v>2019</v>
      </c>
      <c r="W454" s="222" t="s">
        <v>2666</v>
      </c>
      <c r="X454" s="186">
        <f t="shared" si="21"/>
        <v>12.057057244522129</v>
      </c>
      <c r="Y454" s="178" t="str">
        <f t="shared" si="19"/>
        <v/>
      </c>
      <c r="Z454" s="178" t="str">
        <f t="shared" si="20"/>
        <v/>
      </c>
      <c r="AA454" s="44"/>
      <c r="AB454" s="65"/>
    </row>
    <row r="455" spans="1:28" s="154" customFormat="1" hidden="1">
      <c r="A455" s="751">
        <v>7910</v>
      </c>
      <c r="B455" s="752" t="s">
        <v>35</v>
      </c>
      <c r="C455" s="751" t="s">
        <v>2960</v>
      </c>
      <c r="D455" s="752" t="s">
        <v>1104</v>
      </c>
      <c r="E455" s="752" t="s">
        <v>58</v>
      </c>
      <c r="F455" s="751">
        <v>15296</v>
      </c>
      <c r="G455" s="752" t="s">
        <v>59</v>
      </c>
      <c r="H455" s="752" t="s">
        <v>1244</v>
      </c>
      <c r="I455" s="752" t="s">
        <v>60</v>
      </c>
      <c r="J455" s="751">
        <v>22</v>
      </c>
      <c r="K455" s="751">
        <v>1</v>
      </c>
      <c r="L455" s="752" t="s">
        <v>36</v>
      </c>
      <c r="M455" s="752" t="s">
        <v>52</v>
      </c>
      <c r="N455" s="752" t="s">
        <v>41</v>
      </c>
      <c r="O455" s="752" t="s">
        <v>41</v>
      </c>
      <c r="P455" s="752" t="s">
        <v>1091</v>
      </c>
      <c r="Q455" s="753">
        <v>795155</v>
      </c>
      <c r="R455" s="753">
        <v>795155</v>
      </c>
      <c r="S455" s="753">
        <v>826166</v>
      </c>
      <c r="T455" s="753">
        <v>826166</v>
      </c>
      <c r="U455" s="753">
        <v>72966</v>
      </c>
      <c r="V455" s="751">
        <v>2019</v>
      </c>
      <c r="W455" s="222" t="s">
        <v>2666</v>
      </c>
      <c r="X455" s="186">
        <f t="shared" si="21"/>
        <v>11.322616012937532</v>
      </c>
      <c r="Y455" s="178" t="str">
        <f t="shared" ref="Y455:Y518" si="22">IF(AND($M455=$Y$2,$N455=$Y$3,NOT($Q455=$R455),NOT($U455=0)),IF($K455=5,$S455/($U455+(8/5)*$U455),IF($K455=7,$S455/($U455+(29/25)*$U455),"")),"")</f>
        <v/>
      </c>
      <c r="Z455" s="178" t="str">
        <f t="shared" ref="Z455:Z518" si="23">IF(AND($M455=$Y$2,$N455=$Y$4,NOT($Q455=$R455),NOT($U455=0)),IF($K455=5,$S455/($U455+(8/5)*$U455),IF($K455=7,$S455/($U455+(29/25)*$U455),"")),"")</f>
        <v/>
      </c>
      <c r="AA455" s="44"/>
      <c r="AB455" s="179"/>
    </row>
    <row r="456" spans="1:28" s="154" customFormat="1" hidden="1">
      <c r="A456" s="751">
        <v>7912</v>
      </c>
      <c r="B456" s="752" t="s">
        <v>35</v>
      </c>
      <c r="C456" s="751" t="s">
        <v>2960</v>
      </c>
      <c r="D456" s="752" t="s">
        <v>31</v>
      </c>
      <c r="E456" s="752" t="s">
        <v>58</v>
      </c>
      <c r="F456" s="751">
        <v>15296</v>
      </c>
      <c r="G456" s="752" t="s">
        <v>59</v>
      </c>
      <c r="H456" s="752" t="s">
        <v>1244</v>
      </c>
      <c r="I456" s="752" t="s">
        <v>60</v>
      </c>
      <c r="J456" s="751">
        <v>22</v>
      </c>
      <c r="K456" s="751">
        <v>1</v>
      </c>
      <c r="L456" s="752" t="s">
        <v>36</v>
      </c>
      <c r="M456" s="752" t="s">
        <v>52</v>
      </c>
      <c r="N456" s="752" t="s">
        <v>41</v>
      </c>
      <c r="O456" s="752" t="s">
        <v>41</v>
      </c>
      <c r="P456" s="752" t="s">
        <v>1091</v>
      </c>
      <c r="Q456" s="753">
        <v>541620</v>
      </c>
      <c r="R456" s="753">
        <v>541620</v>
      </c>
      <c r="S456" s="753">
        <v>558410</v>
      </c>
      <c r="T456" s="753">
        <v>558410</v>
      </c>
      <c r="U456" s="753">
        <v>50423</v>
      </c>
      <c r="V456" s="751">
        <v>2019</v>
      </c>
      <c r="W456" s="222" t="s">
        <v>2666</v>
      </c>
      <c r="X456" s="186">
        <f t="shared" si="21"/>
        <v>11.07450964837475</v>
      </c>
      <c r="Y456" s="178" t="str">
        <f t="shared" si="22"/>
        <v/>
      </c>
      <c r="Z456" s="178" t="str">
        <f t="shared" si="23"/>
        <v/>
      </c>
      <c r="AA456" s="44"/>
      <c r="AB456" s="179"/>
    </row>
    <row r="457" spans="1:28" hidden="1">
      <c r="A457" s="751">
        <v>7913</v>
      </c>
      <c r="B457" s="752" t="s">
        <v>35</v>
      </c>
      <c r="C457" s="751" t="s">
        <v>2960</v>
      </c>
      <c r="D457" s="752" t="s">
        <v>32</v>
      </c>
      <c r="E457" s="752" t="s">
        <v>58</v>
      </c>
      <c r="F457" s="751">
        <v>15296</v>
      </c>
      <c r="G457" s="752" t="s">
        <v>59</v>
      </c>
      <c r="H457" s="752" t="s">
        <v>1244</v>
      </c>
      <c r="I457" s="752" t="s">
        <v>60</v>
      </c>
      <c r="J457" s="751">
        <v>22</v>
      </c>
      <c r="K457" s="751">
        <v>1</v>
      </c>
      <c r="L457" s="752" t="s">
        <v>36</v>
      </c>
      <c r="M457" s="752" t="s">
        <v>52</v>
      </c>
      <c r="N457" s="752" t="s">
        <v>41</v>
      </c>
      <c r="O457" s="752" t="s">
        <v>41</v>
      </c>
      <c r="P457" s="752" t="s">
        <v>1091</v>
      </c>
      <c r="Q457" s="753">
        <v>299652</v>
      </c>
      <c r="R457" s="753">
        <v>299652</v>
      </c>
      <c r="S457" s="753">
        <v>308041</v>
      </c>
      <c r="T457" s="753">
        <v>308041</v>
      </c>
      <c r="U457" s="753">
        <v>24911</v>
      </c>
      <c r="V457" s="751">
        <v>2019</v>
      </c>
      <c r="W457" s="222" t="s">
        <v>2666</v>
      </c>
      <c r="X457" s="186">
        <f t="shared" si="21"/>
        <v>12.365661755850828</v>
      </c>
      <c r="Y457" s="178" t="str">
        <f t="shared" si="22"/>
        <v/>
      </c>
      <c r="Z457" s="178" t="str">
        <f t="shared" si="23"/>
        <v/>
      </c>
      <c r="AA457" s="44"/>
      <c r="AB457" s="65"/>
    </row>
    <row r="458" spans="1:28" hidden="1">
      <c r="A458" s="751">
        <v>7914</v>
      </c>
      <c r="B458" s="752" t="s">
        <v>35</v>
      </c>
      <c r="C458" s="751" t="s">
        <v>2960</v>
      </c>
      <c r="D458" s="752" t="s">
        <v>33</v>
      </c>
      <c r="E458" s="752" t="s">
        <v>58</v>
      </c>
      <c r="F458" s="751">
        <v>15296</v>
      </c>
      <c r="G458" s="752" t="s">
        <v>59</v>
      </c>
      <c r="H458" s="752" t="s">
        <v>1244</v>
      </c>
      <c r="I458" s="752" t="s">
        <v>60</v>
      </c>
      <c r="J458" s="751">
        <v>22</v>
      </c>
      <c r="K458" s="751">
        <v>1</v>
      </c>
      <c r="L458" s="752" t="s">
        <v>36</v>
      </c>
      <c r="M458" s="752" t="s">
        <v>52</v>
      </c>
      <c r="N458" s="752" t="s">
        <v>41</v>
      </c>
      <c r="O458" s="752" t="s">
        <v>41</v>
      </c>
      <c r="P458" s="752" t="s">
        <v>1091</v>
      </c>
      <c r="Q458" s="753">
        <v>307312</v>
      </c>
      <c r="R458" s="753">
        <v>307312</v>
      </c>
      <c r="S458" s="753">
        <v>315609</v>
      </c>
      <c r="T458" s="753">
        <v>315609</v>
      </c>
      <c r="U458" s="753">
        <v>25345</v>
      </c>
      <c r="V458" s="751">
        <v>2019</v>
      </c>
      <c r="W458" s="222" t="s">
        <v>2666</v>
      </c>
      <c r="X458" s="186"/>
      <c r="Y458" s="178" t="str">
        <f t="shared" si="22"/>
        <v/>
      </c>
      <c r="Z458" s="178" t="str">
        <f t="shared" si="23"/>
        <v/>
      </c>
      <c r="AA458" s="44"/>
      <c r="AB458" s="65"/>
    </row>
    <row r="459" spans="1:28" hidden="1">
      <c r="A459" s="751">
        <v>7915</v>
      </c>
      <c r="B459" s="752" t="s">
        <v>35</v>
      </c>
      <c r="C459" s="751" t="s">
        <v>2960</v>
      </c>
      <c r="D459" s="752" t="s">
        <v>34</v>
      </c>
      <c r="E459" s="752" t="s">
        <v>58</v>
      </c>
      <c r="F459" s="751">
        <v>15296</v>
      </c>
      <c r="G459" s="752" t="s">
        <v>59</v>
      </c>
      <c r="H459" s="752" t="s">
        <v>1244</v>
      </c>
      <c r="I459" s="752" t="s">
        <v>60</v>
      </c>
      <c r="J459" s="751">
        <v>22</v>
      </c>
      <c r="K459" s="751">
        <v>1</v>
      </c>
      <c r="L459" s="752" t="s">
        <v>36</v>
      </c>
      <c r="M459" s="752" t="s">
        <v>52</v>
      </c>
      <c r="N459" s="752" t="s">
        <v>41</v>
      </c>
      <c r="O459" s="752" t="s">
        <v>41</v>
      </c>
      <c r="P459" s="752" t="s">
        <v>1091</v>
      </c>
      <c r="Q459" s="753">
        <v>330291</v>
      </c>
      <c r="R459" s="753">
        <v>330291</v>
      </c>
      <c r="S459" s="753">
        <v>342181</v>
      </c>
      <c r="T459" s="753">
        <v>342181</v>
      </c>
      <c r="U459" s="753">
        <v>29372</v>
      </c>
      <c r="V459" s="751">
        <v>2019</v>
      </c>
      <c r="W459" s="222" t="s">
        <v>2666</v>
      </c>
      <c r="X459" s="186"/>
      <c r="Y459" s="178" t="str">
        <f t="shared" si="22"/>
        <v/>
      </c>
      <c r="Z459" s="178" t="str">
        <f t="shared" si="23"/>
        <v/>
      </c>
      <c r="AA459" s="44"/>
      <c r="AB459" s="65"/>
    </row>
    <row r="460" spans="1:28" hidden="1">
      <c r="A460" s="751">
        <v>8002</v>
      </c>
      <c r="B460" s="752" t="s">
        <v>35</v>
      </c>
      <c r="C460" s="751" t="s">
        <v>2960</v>
      </c>
      <c r="D460" s="752" t="s">
        <v>151</v>
      </c>
      <c r="E460" s="752" t="s">
        <v>2454</v>
      </c>
      <c r="F460" s="751">
        <v>62032</v>
      </c>
      <c r="G460" s="752" t="s">
        <v>98</v>
      </c>
      <c r="H460" s="752" t="s">
        <v>1245</v>
      </c>
      <c r="I460" s="752" t="s">
        <v>60</v>
      </c>
      <c r="J460" s="751">
        <v>22</v>
      </c>
      <c r="K460" s="751">
        <v>1</v>
      </c>
      <c r="L460" s="752" t="s">
        <v>36</v>
      </c>
      <c r="M460" s="752" t="s">
        <v>44</v>
      </c>
      <c r="N460" s="752" t="s">
        <v>48</v>
      </c>
      <c r="O460" s="752" t="s">
        <v>48</v>
      </c>
      <c r="P460" s="752" t="s">
        <v>49</v>
      </c>
      <c r="Q460" s="753">
        <v>795</v>
      </c>
      <c r="R460" s="753">
        <v>795</v>
      </c>
      <c r="S460" s="753">
        <v>4612</v>
      </c>
      <c r="T460" s="753">
        <v>4612</v>
      </c>
      <c r="U460" s="753">
        <v>206.56299999999999</v>
      </c>
      <c r="V460" s="751">
        <v>2019</v>
      </c>
      <c r="W460" s="222" t="s">
        <v>2666</v>
      </c>
      <c r="X460" s="186">
        <f>IF(OR(K460&gt;3,T460=0,NOT(U460&gt;0)),"",T460/U460)</f>
        <v>22.327328708432781</v>
      </c>
      <c r="Y460" s="178" t="str">
        <f t="shared" si="22"/>
        <v/>
      </c>
      <c r="Z460" s="178" t="str">
        <f t="shared" si="23"/>
        <v/>
      </c>
      <c r="AA460" s="44"/>
      <c r="AB460" s="65"/>
    </row>
    <row r="461" spans="1:28" hidden="1">
      <c r="A461" s="751">
        <v>8002</v>
      </c>
      <c r="B461" s="752" t="s">
        <v>35</v>
      </c>
      <c r="C461" s="751" t="s">
        <v>2960</v>
      </c>
      <c r="D461" s="752" t="s">
        <v>151</v>
      </c>
      <c r="E461" s="752" t="s">
        <v>2454</v>
      </c>
      <c r="F461" s="751">
        <v>62032</v>
      </c>
      <c r="G461" s="752" t="s">
        <v>98</v>
      </c>
      <c r="H461" s="752" t="s">
        <v>1245</v>
      </c>
      <c r="I461" s="752" t="s">
        <v>60</v>
      </c>
      <c r="J461" s="751">
        <v>22</v>
      </c>
      <c r="K461" s="751">
        <v>1</v>
      </c>
      <c r="L461" s="752" t="s">
        <v>36</v>
      </c>
      <c r="M461" s="752" t="s">
        <v>44</v>
      </c>
      <c r="N461" s="752" t="s">
        <v>41</v>
      </c>
      <c r="O461" s="752" t="s">
        <v>41</v>
      </c>
      <c r="P461" s="752" t="s">
        <v>1091</v>
      </c>
      <c r="Q461" s="753">
        <v>59987</v>
      </c>
      <c r="R461" s="753">
        <v>59987</v>
      </c>
      <c r="S461" s="753">
        <v>62400</v>
      </c>
      <c r="T461" s="753">
        <v>62400</v>
      </c>
      <c r="U461" s="753">
        <v>4143.1620000000003</v>
      </c>
      <c r="V461" s="751">
        <v>2019</v>
      </c>
      <c r="W461" s="222" t="s">
        <v>2666</v>
      </c>
      <c r="X461" s="186">
        <f>IF(OR(K461&gt;3,T461=0,NOT(U461&gt;0)),"",T461/U461)</f>
        <v>15.0609606865481</v>
      </c>
      <c r="Y461" s="178" t="str">
        <f t="shared" si="22"/>
        <v/>
      </c>
      <c r="Z461" s="178" t="str">
        <f t="shared" si="23"/>
        <v/>
      </c>
      <c r="AA461" s="44"/>
      <c r="AB461" s="65"/>
    </row>
    <row r="462" spans="1:28" hidden="1">
      <c r="A462" s="751">
        <v>8002</v>
      </c>
      <c r="B462" s="752" t="s">
        <v>35</v>
      </c>
      <c r="C462" s="751" t="s">
        <v>2960</v>
      </c>
      <c r="D462" s="752" t="s">
        <v>151</v>
      </c>
      <c r="E462" s="752" t="s">
        <v>2454</v>
      </c>
      <c r="F462" s="751">
        <v>62032</v>
      </c>
      <c r="G462" s="752" t="s">
        <v>98</v>
      </c>
      <c r="H462" s="752" t="s">
        <v>1245</v>
      </c>
      <c r="I462" s="752" t="s">
        <v>60</v>
      </c>
      <c r="J462" s="751">
        <v>22</v>
      </c>
      <c r="K462" s="751">
        <v>1</v>
      </c>
      <c r="L462" s="752" t="s">
        <v>36</v>
      </c>
      <c r="M462" s="752" t="s">
        <v>44</v>
      </c>
      <c r="N462" s="752" t="s">
        <v>63</v>
      </c>
      <c r="O462" s="752" t="s">
        <v>63</v>
      </c>
      <c r="P462" s="752" t="s">
        <v>49</v>
      </c>
      <c r="Q462" s="753">
        <v>2382</v>
      </c>
      <c r="R462" s="753">
        <v>2382</v>
      </c>
      <c r="S462" s="753">
        <v>15007</v>
      </c>
      <c r="T462" s="753">
        <v>15007</v>
      </c>
      <c r="U462" s="753">
        <v>1430.2750000000001</v>
      </c>
      <c r="V462" s="751">
        <v>2019</v>
      </c>
      <c r="W462" s="222" t="s">
        <v>2666</v>
      </c>
      <c r="X462" s="186"/>
      <c r="Y462" s="178" t="str">
        <f t="shared" si="22"/>
        <v/>
      </c>
      <c r="Z462" s="178" t="str">
        <f t="shared" si="23"/>
        <v/>
      </c>
      <c r="AA462" s="44"/>
      <c r="AB462" s="65"/>
    </row>
    <row r="463" spans="1:28" ht="25" hidden="1">
      <c r="A463" s="751">
        <v>8004</v>
      </c>
      <c r="B463" s="752" t="s">
        <v>35</v>
      </c>
      <c r="C463" s="751" t="s">
        <v>2960</v>
      </c>
      <c r="D463" s="752" t="s">
        <v>789</v>
      </c>
      <c r="E463" s="752" t="s">
        <v>1255</v>
      </c>
      <c r="F463" s="751">
        <v>54765</v>
      </c>
      <c r="G463" s="752" t="s">
        <v>83</v>
      </c>
      <c r="H463" s="752" t="s">
        <v>1245</v>
      </c>
      <c r="I463" s="752" t="s">
        <v>60</v>
      </c>
      <c r="J463" s="751">
        <v>22</v>
      </c>
      <c r="K463" s="751">
        <v>2</v>
      </c>
      <c r="L463" s="752" t="s">
        <v>54</v>
      </c>
      <c r="M463" s="752" t="s">
        <v>37</v>
      </c>
      <c r="N463" s="752" t="s">
        <v>38</v>
      </c>
      <c r="O463" s="752" t="s">
        <v>39</v>
      </c>
      <c r="P463" s="752" t="s">
        <v>1238</v>
      </c>
      <c r="Q463" s="753">
        <v>0</v>
      </c>
      <c r="R463" s="753">
        <v>0</v>
      </c>
      <c r="S463" s="753">
        <v>268153</v>
      </c>
      <c r="T463" s="753">
        <v>268153</v>
      </c>
      <c r="U463" s="753">
        <v>30116</v>
      </c>
      <c r="V463" s="751">
        <v>2019</v>
      </c>
      <c r="W463" s="222"/>
      <c r="X463" s="186">
        <f t="shared" ref="X463:X474" si="24">IF(OR(K463&gt;3,T463=0,NOT(U463&gt;0)),"",T463/U463)</f>
        <v>8.9040045158719625</v>
      </c>
      <c r="Y463" s="178" t="str">
        <f t="shared" si="22"/>
        <v/>
      </c>
      <c r="Z463" s="178" t="str">
        <f t="shared" si="23"/>
        <v/>
      </c>
      <c r="AA463" s="44"/>
      <c r="AB463" s="65"/>
    </row>
    <row r="464" spans="1:28" ht="25" hidden="1">
      <c r="A464" s="751">
        <v>8005</v>
      </c>
      <c r="B464" s="752" t="s">
        <v>35</v>
      </c>
      <c r="C464" s="751" t="s">
        <v>2960</v>
      </c>
      <c r="D464" s="752" t="s">
        <v>153</v>
      </c>
      <c r="E464" s="752" t="s">
        <v>1255</v>
      </c>
      <c r="F464" s="751">
        <v>54765</v>
      </c>
      <c r="G464" s="752" t="s">
        <v>83</v>
      </c>
      <c r="H464" s="752" t="s">
        <v>1245</v>
      </c>
      <c r="I464" s="752" t="s">
        <v>60</v>
      </c>
      <c r="J464" s="751">
        <v>22</v>
      </c>
      <c r="K464" s="751">
        <v>2</v>
      </c>
      <c r="L464" s="752" t="s">
        <v>54</v>
      </c>
      <c r="M464" s="752" t="s">
        <v>61</v>
      </c>
      <c r="N464" s="752" t="s">
        <v>38</v>
      </c>
      <c r="O464" s="752" t="s">
        <v>62</v>
      </c>
      <c r="P464" s="752" t="s">
        <v>2961</v>
      </c>
      <c r="Q464" s="753">
        <v>591640</v>
      </c>
      <c r="R464" s="753">
        <v>591640</v>
      </c>
      <c r="S464" s="753">
        <v>0</v>
      </c>
      <c r="T464" s="753">
        <v>0</v>
      </c>
      <c r="U464" s="753">
        <v>-163741</v>
      </c>
      <c r="V464" s="751">
        <v>2019</v>
      </c>
      <c r="W464" s="222"/>
      <c r="X464" s="186" t="str">
        <f t="shared" si="24"/>
        <v/>
      </c>
      <c r="Y464" s="178" t="str">
        <f t="shared" si="22"/>
        <v/>
      </c>
      <c r="Z464" s="178" t="str">
        <f t="shared" si="23"/>
        <v/>
      </c>
      <c r="AA464" s="44"/>
      <c r="AB464" s="65"/>
    </row>
    <row r="465" spans="1:28" hidden="1">
      <c r="A465" s="751">
        <v>8006</v>
      </c>
      <c r="B465" s="752" t="s">
        <v>35</v>
      </c>
      <c r="C465" s="751" t="s">
        <v>2960</v>
      </c>
      <c r="D465" s="752" t="s">
        <v>1256</v>
      </c>
      <c r="E465" s="752" t="s">
        <v>1231</v>
      </c>
      <c r="F465" s="751">
        <v>5511</v>
      </c>
      <c r="G465" s="752" t="s">
        <v>59</v>
      </c>
      <c r="H465" s="752" t="s">
        <v>1244</v>
      </c>
      <c r="I465" s="752" t="s">
        <v>60</v>
      </c>
      <c r="J465" s="751">
        <v>22</v>
      </c>
      <c r="K465" s="751">
        <v>2</v>
      </c>
      <c r="L465" s="752" t="s">
        <v>54</v>
      </c>
      <c r="M465" s="752" t="s">
        <v>44</v>
      </c>
      <c r="N465" s="752" t="s">
        <v>48</v>
      </c>
      <c r="O465" s="752" t="s">
        <v>48</v>
      </c>
      <c r="P465" s="752" t="s">
        <v>49</v>
      </c>
      <c r="Q465" s="753">
        <v>0</v>
      </c>
      <c r="R465" s="753">
        <v>0</v>
      </c>
      <c r="S465" s="753">
        <v>0</v>
      </c>
      <c r="T465" s="753">
        <v>0</v>
      </c>
      <c r="U465" s="753">
        <v>0</v>
      </c>
      <c r="V465" s="751">
        <v>2019</v>
      </c>
      <c r="W465" s="222"/>
      <c r="X465" s="186" t="str">
        <f t="shared" si="24"/>
        <v/>
      </c>
      <c r="Y465" s="178" t="str">
        <f t="shared" si="22"/>
        <v/>
      </c>
      <c r="Z465" s="178" t="str">
        <f t="shared" si="23"/>
        <v/>
      </c>
      <c r="AA465" s="44"/>
      <c r="AB465" s="65"/>
    </row>
    <row r="466" spans="1:28" hidden="1">
      <c r="A466" s="751">
        <v>8006</v>
      </c>
      <c r="B466" s="752" t="s">
        <v>35</v>
      </c>
      <c r="C466" s="751" t="s">
        <v>2960</v>
      </c>
      <c r="D466" s="752" t="s">
        <v>1256</v>
      </c>
      <c r="E466" s="752" t="s">
        <v>1231</v>
      </c>
      <c r="F466" s="751">
        <v>5511</v>
      </c>
      <c r="G466" s="752" t="s">
        <v>59</v>
      </c>
      <c r="H466" s="752" t="s">
        <v>1244</v>
      </c>
      <c r="I466" s="752" t="s">
        <v>60</v>
      </c>
      <c r="J466" s="751">
        <v>22</v>
      </c>
      <c r="K466" s="751">
        <v>2</v>
      </c>
      <c r="L466" s="752" t="s">
        <v>54</v>
      </c>
      <c r="M466" s="752" t="s">
        <v>44</v>
      </c>
      <c r="N466" s="752" t="s">
        <v>41</v>
      </c>
      <c r="O466" s="752" t="s">
        <v>41</v>
      </c>
      <c r="P466" s="752" t="s">
        <v>1091</v>
      </c>
      <c r="Q466" s="753">
        <v>1692948</v>
      </c>
      <c r="R466" s="753">
        <v>1692948</v>
      </c>
      <c r="S466" s="753">
        <v>1709879</v>
      </c>
      <c r="T466" s="753">
        <v>1709879</v>
      </c>
      <c r="U466" s="753">
        <v>138283.53</v>
      </c>
      <c r="V466" s="751">
        <v>2019</v>
      </c>
      <c r="W466" s="222"/>
      <c r="X466" s="186">
        <f t="shared" si="24"/>
        <v>12.365022790494283</v>
      </c>
      <c r="Y466" s="178" t="str">
        <f t="shared" si="22"/>
        <v/>
      </c>
      <c r="Z466" s="178" t="str">
        <f t="shared" si="23"/>
        <v/>
      </c>
      <c r="AA466" s="44"/>
      <c r="AB466" s="65"/>
    </row>
    <row r="467" spans="1:28" hidden="1">
      <c r="A467" s="751">
        <v>8006</v>
      </c>
      <c r="B467" s="752" t="s">
        <v>35</v>
      </c>
      <c r="C467" s="751" t="s">
        <v>2960</v>
      </c>
      <c r="D467" s="752" t="s">
        <v>1256</v>
      </c>
      <c r="E467" s="752" t="s">
        <v>1231</v>
      </c>
      <c r="F467" s="751">
        <v>5511</v>
      </c>
      <c r="G467" s="752" t="s">
        <v>59</v>
      </c>
      <c r="H467" s="752" t="s">
        <v>1244</v>
      </c>
      <c r="I467" s="752" t="s">
        <v>60</v>
      </c>
      <c r="J467" s="751">
        <v>22</v>
      </c>
      <c r="K467" s="751">
        <v>2</v>
      </c>
      <c r="L467" s="752" t="s">
        <v>54</v>
      </c>
      <c r="M467" s="752" t="s">
        <v>44</v>
      </c>
      <c r="N467" s="752" t="s">
        <v>63</v>
      </c>
      <c r="O467" s="752" t="s">
        <v>63</v>
      </c>
      <c r="P467" s="752" t="s">
        <v>49</v>
      </c>
      <c r="Q467" s="753">
        <v>10099</v>
      </c>
      <c r="R467" s="753">
        <v>10099</v>
      </c>
      <c r="S467" s="753">
        <v>64518</v>
      </c>
      <c r="T467" s="753">
        <v>64518</v>
      </c>
      <c r="U467" s="753">
        <v>5391.4719999999998</v>
      </c>
      <c r="V467" s="751">
        <v>2019</v>
      </c>
      <c r="W467" s="222"/>
      <c r="X467" s="186">
        <f t="shared" si="24"/>
        <v>11.966676262067207</v>
      </c>
      <c r="Y467" s="178" t="str">
        <f t="shared" si="22"/>
        <v/>
      </c>
      <c r="Z467" s="178" t="str">
        <f t="shared" si="23"/>
        <v/>
      </c>
      <c r="AA467" s="44"/>
      <c r="AB467" s="65"/>
    </row>
    <row r="468" spans="1:28" hidden="1">
      <c r="A468" s="751">
        <v>8007</v>
      </c>
      <c r="B468" s="752" t="s">
        <v>35</v>
      </c>
      <c r="C468" s="751" t="s">
        <v>2960</v>
      </c>
      <c r="D468" s="752" t="s">
        <v>154</v>
      </c>
      <c r="E468" s="752" t="s">
        <v>654</v>
      </c>
      <c r="F468" s="751">
        <v>56505</v>
      </c>
      <c r="G468" s="752" t="s">
        <v>59</v>
      </c>
      <c r="H468" s="752" t="s">
        <v>1244</v>
      </c>
      <c r="I468" s="752" t="s">
        <v>60</v>
      </c>
      <c r="J468" s="751">
        <v>22</v>
      </c>
      <c r="K468" s="751">
        <v>1</v>
      </c>
      <c r="L468" s="752" t="s">
        <v>36</v>
      </c>
      <c r="M468" s="752" t="s">
        <v>52</v>
      </c>
      <c r="N468" s="752" t="s">
        <v>48</v>
      </c>
      <c r="O468" s="752" t="s">
        <v>48</v>
      </c>
      <c r="P468" s="752" t="s">
        <v>49</v>
      </c>
      <c r="Q468" s="753">
        <v>0</v>
      </c>
      <c r="R468" s="753">
        <v>0</v>
      </c>
      <c r="S468" s="753">
        <v>0</v>
      </c>
      <c r="T468" s="753">
        <v>0</v>
      </c>
      <c r="U468" s="753">
        <v>0</v>
      </c>
      <c r="V468" s="751">
        <v>2019</v>
      </c>
      <c r="W468" s="222" t="s">
        <v>2666</v>
      </c>
      <c r="X468" s="186" t="str">
        <f t="shared" si="24"/>
        <v/>
      </c>
      <c r="Y468" s="178" t="str">
        <f t="shared" si="22"/>
        <v/>
      </c>
      <c r="Z468" s="178" t="str">
        <f t="shared" si="23"/>
        <v/>
      </c>
      <c r="AA468" s="44"/>
      <c r="AB468" s="65"/>
    </row>
    <row r="469" spans="1:28" hidden="1">
      <c r="A469" s="751">
        <v>8007</v>
      </c>
      <c r="B469" s="752" t="s">
        <v>35</v>
      </c>
      <c r="C469" s="751" t="s">
        <v>2960</v>
      </c>
      <c r="D469" s="752" t="s">
        <v>154</v>
      </c>
      <c r="E469" s="752" t="s">
        <v>654</v>
      </c>
      <c r="F469" s="751">
        <v>56505</v>
      </c>
      <c r="G469" s="752" t="s">
        <v>59</v>
      </c>
      <c r="H469" s="752" t="s">
        <v>1244</v>
      </c>
      <c r="I469" s="752" t="s">
        <v>60</v>
      </c>
      <c r="J469" s="751">
        <v>22</v>
      </c>
      <c r="K469" s="751">
        <v>1</v>
      </c>
      <c r="L469" s="752" t="s">
        <v>36</v>
      </c>
      <c r="M469" s="752" t="s">
        <v>52</v>
      </c>
      <c r="N469" s="752" t="s">
        <v>78</v>
      </c>
      <c r="O469" s="752" t="s">
        <v>69</v>
      </c>
      <c r="P469" s="752" t="s">
        <v>49</v>
      </c>
      <c r="Q469" s="753">
        <v>56940</v>
      </c>
      <c r="R469" s="753">
        <v>56940</v>
      </c>
      <c r="S469" s="753">
        <v>325696</v>
      </c>
      <c r="T469" s="753">
        <v>325696</v>
      </c>
      <c r="U469" s="753">
        <v>19721</v>
      </c>
      <c r="V469" s="751">
        <v>2019</v>
      </c>
      <c r="W469" s="222" t="s">
        <v>2666</v>
      </c>
      <c r="X469" s="186">
        <f t="shared" si="24"/>
        <v>16.515186856650271</v>
      </c>
      <c r="Y469" s="178" t="str">
        <f t="shared" si="22"/>
        <v/>
      </c>
      <c r="Z469" s="178" t="str">
        <f t="shared" si="23"/>
        <v/>
      </c>
      <c r="AA469" s="44"/>
      <c r="AB469" s="65"/>
    </row>
    <row r="470" spans="1:28" hidden="1">
      <c r="A470" s="751">
        <v>8009</v>
      </c>
      <c r="B470" s="752" t="s">
        <v>35</v>
      </c>
      <c r="C470" s="751" t="s">
        <v>2960</v>
      </c>
      <c r="D470" s="752" t="s">
        <v>1928</v>
      </c>
      <c r="E470" s="752" t="s">
        <v>601</v>
      </c>
      <c r="F470" s="751">
        <v>13511</v>
      </c>
      <c r="G470" s="752" t="s">
        <v>59</v>
      </c>
      <c r="H470" s="752" t="s">
        <v>1244</v>
      </c>
      <c r="I470" s="752" t="s">
        <v>60</v>
      </c>
      <c r="J470" s="751">
        <v>22</v>
      </c>
      <c r="K470" s="751">
        <v>1</v>
      </c>
      <c r="L470" s="752" t="s">
        <v>36</v>
      </c>
      <c r="M470" s="752" t="s">
        <v>52</v>
      </c>
      <c r="N470" s="752" t="s">
        <v>41</v>
      </c>
      <c r="O470" s="752" t="s">
        <v>41</v>
      </c>
      <c r="P470" s="752" t="s">
        <v>1091</v>
      </c>
      <c r="Q470" s="753">
        <v>277</v>
      </c>
      <c r="R470" s="753">
        <v>277</v>
      </c>
      <c r="S470" s="753">
        <v>285</v>
      </c>
      <c r="T470" s="753">
        <v>285</v>
      </c>
      <c r="U470" s="753">
        <v>29</v>
      </c>
      <c r="V470" s="751">
        <v>2019</v>
      </c>
      <c r="W470" s="222"/>
      <c r="X470" s="186">
        <f t="shared" si="24"/>
        <v>9.8275862068965516</v>
      </c>
      <c r="Y470" s="178" t="str">
        <f t="shared" si="22"/>
        <v/>
      </c>
      <c r="Z470" s="178" t="str">
        <f t="shared" si="23"/>
        <v/>
      </c>
      <c r="AA470" s="44"/>
      <c r="AB470" s="65"/>
    </row>
    <row r="471" spans="1:28" hidden="1">
      <c r="A471" s="751">
        <v>8053</v>
      </c>
      <c r="B471" s="752" t="s">
        <v>35</v>
      </c>
      <c r="C471" s="751" t="s">
        <v>2960</v>
      </c>
      <c r="D471" s="752" t="s">
        <v>790</v>
      </c>
      <c r="E471" s="752" t="s">
        <v>58</v>
      </c>
      <c r="F471" s="751">
        <v>15296</v>
      </c>
      <c r="G471" s="752" t="s">
        <v>59</v>
      </c>
      <c r="H471" s="752" t="s">
        <v>1244</v>
      </c>
      <c r="I471" s="752" t="s">
        <v>60</v>
      </c>
      <c r="J471" s="751">
        <v>22</v>
      </c>
      <c r="K471" s="751">
        <v>1</v>
      </c>
      <c r="L471" s="752" t="s">
        <v>36</v>
      </c>
      <c r="M471" s="752" t="s">
        <v>52</v>
      </c>
      <c r="N471" s="752" t="s">
        <v>41</v>
      </c>
      <c r="O471" s="752" t="s">
        <v>41</v>
      </c>
      <c r="P471" s="752" t="s">
        <v>1091</v>
      </c>
      <c r="Q471" s="753">
        <v>499024</v>
      </c>
      <c r="R471" s="753">
        <v>499024</v>
      </c>
      <c r="S471" s="753">
        <v>521480</v>
      </c>
      <c r="T471" s="753">
        <v>521480</v>
      </c>
      <c r="U471" s="753">
        <v>47443</v>
      </c>
      <c r="V471" s="751">
        <v>2019</v>
      </c>
      <c r="W471" s="222" t="s">
        <v>2666</v>
      </c>
      <c r="X471" s="186">
        <f t="shared" si="24"/>
        <v>10.991716375440001</v>
      </c>
      <c r="Y471" s="178" t="str">
        <f t="shared" si="22"/>
        <v/>
      </c>
      <c r="Z471" s="178" t="str">
        <f t="shared" si="23"/>
        <v/>
      </c>
      <c r="AA471" s="44"/>
      <c r="AB471" s="65"/>
    </row>
    <row r="472" spans="1:28" hidden="1">
      <c r="A472" s="751">
        <v>8824</v>
      </c>
      <c r="B472" s="752" t="s">
        <v>35</v>
      </c>
      <c r="C472" s="751" t="s">
        <v>2960</v>
      </c>
      <c r="D472" s="752" t="s">
        <v>155</v>
      </c>
      <c r="E472" s="752" t="s">
        <v>109</v>
      </c>
      <c r="F472" s="751">
        <v>4226</v>
      </c>
      <c r="G472" s="752" t="s">
        <v>59</v>
      </c>
      <c r="H472" s="752" t="s">
        <v>1244</v>
      </c>
      <c r="I472" s="752" t="s">
        <v>1238</v>
      </c>
      <c r="J472" s="751">
        <v>22</v>
      </c>
      <c r="K472" s="751">
        <v>1</v>
      </c>
      <c r="L472" s="752" t="s">
        <v>36</v>
      </c>
      <c r="M472" s="752" t="s">
        <v>44</v>
      </c>
      <c r="N472" s="752" t="s">
        <v>63</v>
      </c>
      <c r="O472" s="752" t="s">
        <v>63</v>
      </c>
      <c r="P472" s="752" t="s">
        <v>49</v>
      </c>
      <c r="Q472" s="753">
        <v>0</v>
      </c>
      <c r="R472" s="753">
        <v>0</v>
      </c>
      <c r="S472" s="753">
        <v>0</v>
      </c>
      <c r="T472" s="753">
        <v>0</v>
      </c>
      <c r="U472" s="753">
        <v>0</v>
      </c>
      <c r="V472" s="751">
        <v>2019</v>
      </c>
      <c r="W472" s="222"/>
      <c r="X472" s="186" t="str">
        <f t="shared" si="24"/>
        <v/>
      </c>
      <c r="Y472" s="178" t="str">
        <f t="shared" si="22"/>
        <v/>
      </c>
      <c r="Z472" s="178" t="str">
        <f t="shared" si="23"/>
        <v/>
      </c>
      <c r="AA472" s="44"/>
      <c r="AB472" s="65"/>
    </row>
    <row r="473" spans="1:28" ht="25" hidden="1">
      <c r="A473" s="751">
        <v>8858</v>
      </c>
      <c r="B473" s="752" t="s">
        <v>35</v>
      </c>
      <c r="C473" s="751" t="s">
        <v>2960</v>
      </c>
      <c r="D473" s="752" t="s">
        <v>1929</v>
      </c>
      <c r="E473" s="752" t="s">
        <v>89</v>
      </c>
      <c r="F473" s="751">
        <v>15452</v>
      </c>
      <c r="G473" s="752" t="s">
        <v>136</v>
      </c>
      <c r="H473" s="752" t="s">
        <v>1245</v>
      </c>
      <c r="I473" s="752" t="s">
        <v>1238</v>
      </c>
      <c r="J473" s="751">
        <v>22</v>
      </c>
      <c r="K473" s="751">
        <v>2</v>
      </c>
      <c r="L473" s="752" t="s">
        <v>54</v>
      </c>
      <c r="M473" s="752" t="s">
        <v>44</v>
      </c>
      <c r="N473" s="752" t="s">
        <v>50</v>
      </c>
      <c r="O473" s="752" t="s">
        <v>46</v>
      </c>
      <c r="P473" s="752" t="s">
        <v>47</v>
      </c>
      <c r="Q473" s="753">
        <v>0</v>
      </c>
      <c r="R473" s="753">
        <v>0</v>
      </c>
      <c r="S473" s="753">
        <v>0</v>
      </c>
      <c r="T473" s="753">
        <v>0</v>
      </c>
      <c r="U473" s="753">
        <v>0</v>
      </c>
      <c r="V473" s="751">
        <v>2019</v>
      </c>
      <c r="W473" s="222"/>
      <c r="X473" s="186" t="str">
        <f t="shared" si="24"/>
        <v/>
      </c>
      <c r="Y473" s="178" t="str">
        <f t="shared" si="22"/>
        <v/>
      </c>
      <c r="Z473" s="178" t="str">
        <f t="shared" si="23"/>
        <v/>
      </c>
      <c r="AA473" s="44"/>
      <c r="AB473" s="65"/>
    </row>
    <row r="474" spans="1:28" ht="25" hidden="1">
      <c r="A474" s="751">
        <v>8906</v>
      </c>
      <c r="B474" s="752" t="s">
        <v>35</v>
      </c>
      <c r="C474" s="751" t="s">
        <v>2960</v>
      </c>
      <c r="D474" s="752" t="s">
        <v>156</v>
      </c>
      <c r="E474" s="752" t="s">
        <v>111</v>
      </c>
      <c r="F474" s="751">
        <v>54863</v>
      </c>
      <c r="G474" s="752" t="s">
        <v>59</v>
      </c>
      <c r="H474" s="752" t="s">
        <v>1244</v>
      </c>
      <c r="I474" s="752" t="s">
        <v>60</v>
      </c>
      <c r="J474" s="751">
        <v>22</v>
      </c>
      <c r="K474" s="751">
        <v>2</v>
      </c>
      <c r="L474" s="752" t="s">
        <v>54</v>
      </c>
      <c r="M474" s="752" t="s">
        <v>52</v>
      </c>
      <c r="N474" s="752" t="s">
        <v>41</v>
      </c>
      <c r="O474" s="752" t="s">
        <v>41</v>
      </c>
      <c r="P474" s="752" t="s">
        <v>1091</v>
      </c>
      <c r="Q474" s="753">
        <v>12697</v>
      </c>
      <c r="R474" s="753">
        <v>12697</v>
      </c>
      <c r="S474" s="753">
        <v>13078</v>
      </c>
      <c r="T474" s="753">
        <v>13078</v>
      </c>
      <c r="U474" s="753">
        <v>640</v>
      </c>
      <c r="V474" s="751">
        <v>2019</v>
      </c>
      <c r="W474" s="222"/>
      <c r="X474" s="186">
        <f t="shared" si="24"/>
        <v>20.434374999999999</v>
      </c>
      <c r="Y474" s="178" t="str">
        <f t="shared" si="22"/>
        <v/>
      </c>
      <c r="Z474" s="178" t="str">
        <f t="shared" si="23"/>
        <v/>
      </c>
      <c r="AA474" s="44"/>
      <c r="AB474" s="65"/>
    </row>
    <row r="475" spans="1:28" ht="25" hidden="1">
      <c r="A475" s="751">
        <v>8906</v>
      </c>
      <c r="B475" s="752" t="s">
        <v>35</v>
      </c>
      <c r="C475" s="751" t="s">
        <v>2960</v>
      </c>
      <c r="D475" s="752" t="s">
        <v>156</v>
      </c>
      <c r="E475" s="752" t="s">
        <v>111</v>
      </c>
      <c r="F475" s="751">
        <v>54863</v>
      </c>
      <c r="G475" s="752" t="s">
        <v>59</v>
      </c>
      <c r="H475" s="752" t="s">
        <v>1244</v>
      </c>
      <c r="I475" s="752" t="s">
        <v>60</v>
      </c>
      <c r="J475" s="751">
        <v>22</v>
      </c>
      <c r="K475" s="751">
        <v>2</v>
      </c>
      <c r="L475" s="752" t="s">
        <v>54</v>
      </c>
      <c r="M475" s="752" t="s">
        <v>44</v>
      </c>
      <c r="N475" s="752" t="s">
        <v>41</v>
      </c>
      <c r="O475" s="752" t="s">
        <v>41</v>
      </c>
      <c r="P475" s="752" t="s">
        <v>1091</v>
      </c>
      <c r="Q475" s="753">
        <v>7806053</v>
      </c>
      <c r="R475" s="753">
        <v>7806053</v>
      </c>
      <c r="S475" s="753">
        <v>8025568</v>
      </c>
      <c r="T475" s="753">
        <v>8025568</v>
      </c>
      <c r="U475" s="753">
        <v>653752.72</v>
      </c>
      <c r="V475" s="751">
        <v>2019</v>
      </c>
      <c r="W475" s="222" t="s">
        <v>2666</v>
      </c>
      <c r="X475" s="186"/>
      <c r="Y475" s="178" t="str">
        <f t="shared" si="22"/>
        <v/>
      </c>
      <c r="Z475" s="178" t="str">
        <f t="shared" si="23"/>
        <v/>
      </c>
      <c r="AA475" s="44"/>
      <c r="AB475" s="65"/>
    </row>
    <row r="476" spans="1:28" ht="25" hidden="1">
      <c r="A476" s="751">
        <v>8906</v>
      </c>
      <c r="B476" s="752" t="s">
        <v>35</v>
      </c>
      <c r="C476" s="751" t="s">
        <v>2960</v>
      </c>
      <c r="D476" s="752" t="s">
        <v>156</v>
      </c>
      <c r="E476" s="752" t="s">
        <v>111</v>
      </c>
      <c r="F476" s="751">
        <v>54863</v>
      </c>
      <c r="G476" s="752" t="s">
        <v>59</v>
      </c>
      <c r="H476" s="752" t="s">
        <v>1244</v>
      </c>
      <c r="I476" s="752" t="s">
        <v>60</v>
      </c>
      <c r="J476" s="751">
        <v>22</v>
      </c>
      <c r="K476" s="751">
        <v>2</v>
      </c>
      <c r="L476" s="752" t="s">
        <v>54</v>
      </c>
      <c r="M476" s="752" t="s">
        <v>44</v>
      </c>
      <c r="N476" s="752" t="s">
        <v>63</v>
      </c>
      <c r="O476" s="752" t="s">
        <v>63</v>
      </c>
      <c r="P476" s="752" t="s">
        <v>49</v>
      </c>
      <c r="Q476" s="753">
        <v>21875</v>
      </c>
      <c r="R476" s="753">
        <v>21875</v>
      </c>
      <c r="S476" s="753">
        <v>134181</v>
      </c>
      <c r="T476" s="753">
        <v>134181</v>
      </c>
      <c r="U476" s="753">
        <v>10415.284</v>
      </c>
      <c r="V476" s="751">
        <v>2019</v>
      </c>
      <c r="W476" s="222" t="s">
        <v>2666</v>
      </c>
      <c r="X476" s="186">
        <f>IF(OR(K476&gt;3,T476=0,NOT(U476&gt;0)),"",T476/U476)</f>
        <v>12.883086049309842</v>
      </c>
      <c r="Y476" s="178" t="str">
        <f t="shared" si="22"/>
        <v/>
      </c>
      <c r="Z476" s="178" t="str">
        <f t="shared" si="23"/>
        <v/>
      </c>
      <c r="AA476" s="44"/>
      <c r="AB476" s="65"/>
    </row>
    <row r="477" spans="1:28" hidden="1">
      <c r="A477" s="751">
        <v>8907</v>
      </c>
      <c r="B477" s="752" t="s">
        <v>35</v>
      </c>
      <c r="C477" s="751">
        <v>3</v>
      </c>
      <c r="D477" s="752" t="s">
        <v>157</v>
      </c>
      <c r="E477" s="752" t="s">
        <v>158</v>
      </c>
      <c r="F477" s="751">
        <v>6028</v>
      </c>
      <c r="G477" s="752" t="s">
        <v>59</v>
      </c>
      <c r="H477" s="752" t="s">
        <v>1244</v>
      </c>
      <c r="I477" s="752" t="s">
        <v>60</v>
      </c>
      <c r="J477" s="751">
        <v>22</v>
      </c>
      <c r="K477" s="751">
        <v>2</v>
      </c>
      <c r="L477" s="752" t="s">
        <v>54</v>
      </c>
      <c r="M477" s="752" t="s">
        <v>44</v>
      </c>
      <c r="N477" s="752" t="s">
        <v>55</v>
      </c>
      <c r="O477" s="752" t="s">
        <v>55</v>
      </c>
      <c r="P477" s="752" t="s">
        <v>1238</v>
      </c>
      <c r="Q477" s="753">
        <v>0</v>
      </c>
      <c r="R477" s="753">
        <v>0</v>
      </c>
      <c r="S477" s="753">
        <v>87113278</v>
      </c>
      <c r="T477" s="753">
        <v>87113278</v>
      </c>
      <c r="U477" s="753">
        <v>8342898</v>
      </c>
      <c r="V477" s="751">
        <v>2019</v>
      </c>
      <c r="W477" s="222"/>
      <c r="X477" s="186">
        <f>IF(OR(K477&gt;3,T477=0,NOT(U477&gt;0)),"",T477/U477)</f>
        <v>10.441608898970118</v>
      </c>
      <c r="Y477" s="178" t="str">
        <f t="shared" si="22"/>
        <v/>
      </c>
      <c r="Z477" s="178" t="str">
        <f t="shared" si="23"/>
        <v/>
      </c>
      <c r="AA477" s="44"/>
      <c r="AB477" s="65"/>
    </row>
    <row r="478" spans="1:28" hidden="1">
      <c r="A478" s="751">
        <v>9038</v>
      </c>
      <c r="B478" s="752" t="s">
        <v>35</v>
      </c>
      <c r="C478" s="751" t="s">
        <v>2960</v>
      </c>
      <c r="D478" s="752" t="s">
        <v>791</v>
      </c>
      <c r="E478" s="752" t="s">
        <v>1664</v>
      </c>
      <c r="F478" s="751">
        <v>8973</v>
      </c>
      <c r="G478" s="752" t="s">
        <v>83</v>
      </c>
      <c r="H478" s="752" t="s">
        <v>1245</v>
      </c>
      <c r="I478" s="752" t="s">
        <v>60</v>
      </c>
      <c r="J478" s="751">
        <v>22</v>
      </c>
      <c r="K478" s="751">
        <v>1</v>
      </c>
      <c r="L478" s="752" t="s">
        <v>36</v>
      </c>
      <c r="M478" s="752" t="s">
        <v>53</v>
      </c>
      <c r="N478" s="752" t="s">
        <v>48</v>
      </c>
      <c r="O478" s="752" t="s">
        <v>48</v>
      </c>
      <c r="P478" s="752" t="s">
        <v>49</v>
      </c>
      <c r="Q478" s="753">
        <v>271</v>
      </c>
      <c r="R478" s="753">
        <v>271</v>
      </c>
      <c r="S478" s="753">
        <v>1580</v>
      </c>
      <c r="T478" s="753">
        <v>1580</v>
      </c>
      <c r="U478" s="753">
        <v>166.16499999999999</v>
      </c>
      <c r="V478" s="751">
        <v>2019</v>
      </c>
      <c r="W478" s="222"/>
      <c r="X478" s="186">
        <f>IF(OR(K478&gt;3,T478=0,NOT(U478&gt;0)),"",T478/U478)</f>
        <v>9.5086209490566613</v>
      </c>
      <c r="Y478" s="178" t="str">
        <f t="shared" si="22"/>
        <v/>
      </c>
      <c r="Z478" s="178" t="str">
        <f t="shared" si="23"/>
        <v/>
      </c>
      <c r="AA478" s="44"/>
      <c r="AB478" s="65"/>
    </row>
    <row r="479" spans="1:28" hidden="1">
      <c r="A479" s="751">
        <v>9038</v>
      </c>
      <c r="B479" s="752" t="s">
        <v>35</v>
      </c>
      <c r="C479" s="751" t="s">
        <v>2960</v>
      </c>
      <c r="D479" s="752" t="s">
        <v>791</v>
      </c>
      <c r="E479" s="752" t="s">
        <v>1664</v>
      </c>
      <c r="F479" s="751">
        <v>8973</v>
      </c>
      <c r="G479" s="752" t="s">
        <v>83</v>
      </c>
      <c r="H479" s="752" t="s">
        <v>1245</v>
      </c>
      <c r="I479" s="752" t="s">
        <v>60</v>
      </c>
      <c r="J479" s="751">
        <v>22</v>
      </c>
      <c r="K479" s="751">
        <v>1</v>
      </c>
      <c r="L479" s="752" t="s">
        <v>36</v>
      </c>
      <c r="M479" s="752" t="s">
        <v>53</v>
      </c>
      <c r="N479" s="752" t="s">
        <v>41</v>
      </c>
      <c r="O479" s="752" t="s">
        <v>41</v>
      </c>
      <c r="P479" s="752" t="s">
        <v>1091</v>
      </c>
      <c r="Q479" s="753">
        <v>792</v>
      </c>
      <c r="R479" s="753">
        <v>792</v>
      </c>
      <c r="S479" s="753">
        <v>817</v>
      </c>
      <c r="T479" s="753">
        <v>817</v>
      </c>
      <c r="U479" s="753">
        <v>85.834999999999994</v>
      </c>
      <c r="V479" s="751">
        <v>2019</v>
      </c>
      <c r="W479" s="222"/>
      <c r="X479" s="186"/>
      <c r="Y479" s="178" t="str">
        <f t="shared" si="22"/>
        <v/>
      </c>
      <c r="Z479" s="178" t="str">
        <f t="shared" si="23"/>
        <v/>
      </c>
      <c r="AA479" s="44"/>
      <c r="AB479" s="65"/>
    </row>
    <row r="480" spans="1:28" ht="25" hidden="1">
      <c r="A480" s="751">
        <v>9864</v>
      </c>
      <c r="B480" s="752" t="s">
        <v>35</v>
      </c>
      <c r="C480" s="751" t="s">
        <v>2960</v>
      </c>
      <c r="D480" s="752" t="s">
        <v>792</v>
      </c>
      <c r="E480" s="752" t="s">
        <v>628</v>
      </c>
      <c r="F480" s="751">
        <v>8776</v>
      </c>
      <c r="G480" s="752" t="s">
        <v>83</v>
      </c>
      <c r="H480" s="752" t="s">
        <v>1245</v>
      </c>
      <c r="I480" s="752" t="s">
        <v>60</v>
      </c>
      <c r="J480" s="751">
        <v>22</v>
      </c>
      <c r="K480" s="751">
        <v>1</v>
      </c>
      <c r="L480" s="752" t="s">
        <v>36</v>
      </c>
      <c r="M480" s="752" t="s">
        <v>37</v>
      </c>
      <c r="N480" s="752" t="s">
        <v>38</v>
      </c>
      <c r="O480" s="752" t="s">
        <v>39</v>
      </c>
      <c r="P480" s="752" t="s">
        <v>1238</v>
      </c>
      <c r="Q480" s="753">
        <v>0</v>
      </c>
      <c r="R480" s="753">
        <v>0</v>
      </c>
      <c r="S480" s="753">
        <v>46549</v>
      </c>
      <c r="T480" s="753">
        <v>46549</v>
      </c>
      <c r="U480" s="753">
        <v>5228</v>
      </c>
      <c r="V480" s="751">
        <v>2019</v>
      </c>
      <c r="W480" s="222"/>
      <c r="X480" s="186"/>
      <c r="Y480" s="178" t="str">
        <f t="shared" si="22"/>
        <v/>
      </c>
      <c r="Z480" s="178" t="str">
        <f t="shared" si="23"/>
        <v/>
      </c>
      <c r="AA480" s="44"/>
      <c r="AB480" s="65"/>
    </row>
    <row r="481" spans="1:28" ht="25" hidden="1">
      <c r="A481" s="751">
        <v>9864</v>
      </c>
      <c r="B481" s="752" t="s">
        <v>35</v>
      </c>
      <c r="C481" s="751" t="s">
        <v>2960</v>
      </c>
      <c r="D481" s="752" t="s">
        <v>792</v>
      </c>
      <c r="E481" s="752" t="s">
        <v>628</v>
      </c>
      <c r="F481" s="751">
        <v>8776</v>
      </c>
      <c r="G481" s="752" t="s">
        <v>83</v>
      </c>
      <c r="H481" s="752" t="s">
        <v>1245</v>
      </c>
      <c r="I481" s="752" t="s">
        <v>60</v>
      </c>
      <c r="J481" s="751">
        <v>22</v>
      </c>
      <c r="K481" s="751">
        <v>1</v>
      </c>
      <c r="L481" s="752" t="s">
        <v>36</v>
      </c>
      <c r="M481" s="752" t="s">
        <v>44</v>
      </c>
      <c r="N481" s="752" t="s">
        <v>48</v>
      </c>
      <c r="O481" s="752" t="s">
        <v>48</v>
      </c>
      <c r="P481" s="752" t="s">
        <v>49</v>
      </c>
      <c r="Q481" s="753">
        <v>0</v>
      </c>
      <c r="R481" s="753">
        <v>0</v>
      </c>
      <c r="S481" s="753">
        <v>0</v>
      </c>
      <c r="T481" s="753">
        <v>0</v>
      </c>
      <c r="U481" s="753">
        <v>0</v>
      </c>
      <c r="V481" s="751">
        <v>2019</v>
      </c>
      <c r="W481" s="222"/>
      <c r="X481" s="186" t="str">
        <f>IF(OR(K481&gt;3,T481=0,NOT(U481&gt;0)),"",T481/U481)</f>
        <v/>
      </c>
      <c r="Y481" s="178" t="str">
        <f t="shared" si="22"/>
        <v/>
      </c>
      <c r="Z481" s="178" t="str">
        <f t="shared" si="23"/>
        <v/>
      </c>
      <c r="AA481" s="44"/>
      <c r="AB481" s="65"/>
    </row>
    <row r="482" spans="1:28" ht="25" hidden="1">
      <c r="A482" s="751">
        <v>9864</v>
      </c>
      <c r="B482" s="752" t="s">
        <v>35</v>
      </c>
      <c r="C482" s="751" t="s">
        <v>2960</v>
      </c>
      <c r="D482" s="752" t="s">
        <v>792</v>
      </c>
      <c r="E482" s="752" t="s">
        <v>628</v>
      </c>
      <c r="F482" s="751">
        <v>8776</v>
      </c>
      <c r="G482" s="752" t="s">
        <v>83</v>
      </c>
      <c r="H482" s="752" t="s">
        <v>1245</v>
      </c>
      <c r="I482" s="752" t="s">
        <v>60</v>
      </c>
      <c r="J482" s="751">
        <v>22</v>
      </c>
      <c r="K482" s="751">
        <v>1</v>
      </c>
      <c r="L482" s="752" t="s">
        <v>36</v>
      </c>
      <c r="M482" s="752" t="s">
        <v>44</v>
      </c>
      <c r="N482" s="752" t="s">
        <v>41</v>
      </c>
      <c r="O482" s="752" t="s">
        <v>41</v>
      </c>
      <c r="P482" s="752" t="s">
        <v>1091</v>
      </c>
      <c r="Q482" s="753">
        <v>0</v>
      </c>
      <c r="R482" s="753">
        <v>0</v>
      </c>
      <c r="S482" s="753">
        <v>0</v>
      </c>
      <c r="T482" s="753">
        <v>0</v>
      </c>
      <c r="U482" s="753">
        <v>0</v>
      </c>
      <c r="V482" s="751">
        <v>2019</v>
      </c>
      <c r="W482" s="222"/>
      <c r="X482" s="186" t="str">
        <f>IF(OR(K482&gt;3,T482=0,NOT(U482&gt;0)),"",T482/U482)</f>
        <v/>
      </c>
      <c r="Y482" s="178" t="str">
        <f t="shared" si="22"/>
        <v/>
      </c>
      <c r="Z482" s="178" t="str">
        <f t="shared" si="23"/>
        <v/>
      </c>
      <c r="AA482" s="44"/>
      <c r="AB482" s="65"/>
    </row>
    <row r="483" spans="1:28" ht="25" hidden="1">
      <c r="A483" s="751">
        <v>9864</v>
      </c>
      <c r="B483" s="752" t="s">
        <v>35</v>
      </c>
      <c r="C483" s="751" t="s">
        <v>2960</v>
      </c>
      <c r="D483" s="752" t="s">
        <v>792</v>
      </c>
      <c r="E483" s="752" t="s">
        <v>628</v>
      </c>
      <c r="F483" s="751">
        <v>8776</v>
      </c>
      <c r="G483" s="752" t="s">
        <v>83</v>
      </c>
      <c r="H483" s="752" t="s">
        <v>1245</v>
      </c>
      <c r="I483" s="752" t="s">
        <v>60</v>
      </c>
      <c r="J483" s="751">
        <v>22</v>
      </c>
      <c r="K483" s="751">
        <v>1</v>
      </c>
      <c r="L483" s="752" t="s">
        <v>36</v>
      </c>
      <c r="M483" s="752" t="s">
        <v>44</v>
      </c>
      <c r="N483" s="752" t="s">
        <v>63</v>
      </c>
      <c r="O483" s="752" t="s">
        <v>63</v>
      </c>
      <c r="P483" s="752" t="s">
        <v>49</v>
      </c>
      <c r="Q483" s="753">
        <v>0</v>
      </c>
      <c r="R483" s="753">
        <v>0</v>
      </c>
      <c r="S483" s="753">
        <v>0</v>
      </c>
      <c r="T483" s="753">
        <v>0</v>
      </c>
      <c r="U483" s="753">
        <v>0</v>
      </c>
      <c r="V483" s="751">
        <v>2019</v>
      </c>
      <c r="W483" s="222"/>
      <c r="X483" s="186" t="str">
        <f>IF(OR(K483&gt;3,T483=0,NOT(U483&gt;0)),"",T483/U483)</f>
        <v/>
      </c>
      <c r="Y483" s="178" t="str">
        <f t="shared" si="22"/>
        <v/>
      </c>
      <c r="Z483" s="178" t="str">
        <f t="shared" si="23"/>
        <v/>
      </c>
      <c r="AA483" s="44"/>
      <c r="AB483" s="65"/>
    </row>
    <row r="484" spans="1:28" hidden="1">
      <c r="A484" s="751">
        <v>10025</v>
      </c>
      <c r="B484" s="752" t="s">
        <v>56</v>
      </c>
      <c r="C484" s="751" t="s">
        <v>2960</v>
      </c>
      <c r="D484" s="752" t="s">
        <v>1463</v>
      </c>
      <c r="E484" s="752" t="s">
        <v>1463</v>
      </c>
      <c r="F484" s="751">
        <v>5624</v>
      </c>
      <c r="G484" s="752" t="s">
        <v>59</v>
      </c>
      <c r="H484" s="752" t="s">
        <v>1244</v>
      </c>
      <c r="I484" s="752" t="s">
        <v>60</v>
      </c>
      <c r="J484" s="751">
        <v>339</v>
      </c>
      <c r="K484" s="751">
        <v>7</v>
      </c>
      <c r="L484" s="752" t="s">
        <v>419</v>
      </c>
      <c r="M484" s="752" t="s">
        <v>37</v>
      </c>
      <c r="N484" s="752" t="s">
        <v>38</v>
      </c>
      <c r="O484" s="752" t="s">
        <v>39</v>
      </c>
      <c r="P484" s="752" t="s">
        <v>1238</v>
      </c>
      <c r="Q484" s="753">
        <v>0</v>
      </c>
      <c r="R484" s="753">
        <v>0</v>
      </c>
      <c r="S484" s="753">
        <v>0</v>
      </c>
      <c r="T484" s="753">
        <v>0</v>
      </c>
      <c r="U484" s="753">
        <v>0</v>
      </c>
      <c r="V484" s="751">
        <v>2019</v>
      </c>
      <c r="W484" s="222"/>
      <c r="X484" s="186"/>
      <c r="Y484" s="178" t="str">
        <f t="shared" si="22"/>
        <v/>
      </c>
      <c r="Z484" s="178" t="str">
        <f t="shared" si="23"/>
        <v/>
      </c>
      <c r="AA484" s="44"/>
      <c r="AB484" s="65"/>
    </row>
    <row r="485" spans="1:28" ht="25" hidden="1">
      <c r="A485" s="751">
        <v>10025</v>
      </c>
      <c r="B485" s="752" t="s">
        <v>56</v>
      </c>
      <c r="C485" s="751" t="s">
        <v>2960</v>
      </c>
      <c r="D485" s="752" t="s">
        <v>1463</v>
      </c>
      <c r="E485" s="752" t="s">
        <v>1463</v>
      </c>
      <c r="F485" s="751">
        <v>5624</v>
      </c>
      <c r="G485" s="752" t="s">
        <v>59</v>
      </c>
      <c r="H485" s="752" t="s">
        <v>1244</v>
      </c>
      <c r="I485" s="752" t="s">
        <v>60</v>
      </c>
      <c r="J485" s="751">
        <v>339</v>
      </c>
      <c r="K485" s="751">
        <v>7</v>
      </c>
      <c r="L485" s="752" t="s">
        <v>419</v>
      </c>
      <c r="M485" s="752" t="s">
        <v>44</v>
      </c>
      <c r="N485" s="752" t="s">
        <v>45</v>
      </c>
      <c r="O485" s="752" t="s">
        <v>46</v>
      </c>
      <c r="P485" s="752" t="s">
        <v>47</v>
      </c>
      <c r="Q485" s="753">
        <v>0</v>
      </c>
      <c r="R485" s="753">
        <v>0</v>
      </c>
      <c r="S485" s="753">
        <v>0</v>
      </c>
      <c r="T485" s="753">
        <v>0</v>
      </c>
      <c r="U485" s="753">
        <v>0</v>
      </c>
      <c r="V485" s="751">
        <v>2019</v>
      </c>
      <c r="W485" s="222"/>
      <c r="X485" s="186" t="str">
        <f>IF(OR(K485&gt;3,T485=0,NOT(U485&gt;0)),"",T485/U485)</f>
        <v/>
      </c>
      <c r="Y485" s="178" t="str">
        <f t="shared" si="22"/>
        <v/>
      </c>
      <c r="Z485" s="178" t="str">
        <f t="shared" si="23"/>
        <v/>
      </c>
      <c r="AA485" s="44"/>
      <c r="AB485" s="65"/>
    </row>
    <row r="486" spans="1:28" hidden="1">
      <c r="A486" s="751">
        <v>10025</v>
      </c>
      <c r="B486" s="752" t="s">
        <v>56</v>
      </c>
      <c r="C486" s="751" t="s">
        <v>2960</v>
      </c>
      <c r="D486" s="752" t="s">
        <v>1463</v>
      </c>
      <c r="E486" s="752" t="s">
        <v>1463</v>
      </c>
      <c r="F486" s="751">
        <v>5624</v>
      </c>
      <c r="G486" s="752" t="s">
        <v>59</v>
      </c>
      <c r="H486" s="752" t="s">
        <v>1244</v>
      </c>
      <c r="I486" s="752" t="s">
        <v>60</v>
      </c>
      <c r="J486" s="751">
        <v>339</v>
      </c>
      <c r="K486" s="751">
        <v>7</v>
      </c>
      <c r="L486" s="752" t="s">
        <v>419</v>
      </c>
      <c r="M486" s="752" t="s">
        <v>44</v>
      </c>
      <c r="N486" s="752" t="s">
        <v>48</v>
      </c>
      <c r="O486" s="752" t="s">
        <v>48</v>
      </c>
      <c r="P486" s="752" t="s">
        <v>49</v>
      </c>
      <c r="Q486" s="753">
        <v>531</v>
      </c>
      <c r="R486" s="753">
        <v>162</v>
      </c>
      <c r="S486" s="753">
        <v>3085</v>
      </c>
      <c r="T486" s="753">
        <v>936</v>
      </c>
      <c r="U486" s="753">
        <v>129.61099999999999</v>
      </c>
      <c r="V486" s="751">
        <v>2019</v>
      </c>
      <c r="W486" s="222"/>
      <c r="X486" s="186" t="str">
        <f>IF(OR(K486&gt;3,T486=0,NOT(U486&gt;0)),"",T486/U486)</f>
        <v/>
      </c>
      <c r="Y486" s="178" t="str">
        <f t="shared" si="22"/>
        <v/>
      </c>
      <c r="Z486" s="178" t="str">
        <f t="shared" si="23"/>
        <v/>
      </c>
      <c r="AA486" s="44"/>
      <c r="AB486" s="65"/>
    </row>
    <row r="487" spans="1:28" hidden="1">
      <c r="A487" s="751">
        <v>10025</v>
      </c>
      <c r="B487" s="752" t="s">
        <v>56</v>
      </c>
      <c r="C487" s="751" t="s">
        <v>2960</v>
      </c>
      <c r="D487" s="752" t="s">
        <v>1463</v>
      </c>
      <c r="E487" s="752" t="s">
        <v>1463</v>
      </c>
      <c r="F487" s="751">
        <v>5624</v>
      </c>
      <c r="G487" s="752" t="s">
        <v>59</v>
      </c>
      <c r="H487" s="752" t="s">
        <v>1244</v>
      </c>
      <c r="I487" s="752" t="s">
        <v>60</v>
      </c>
      <c r="J487" s="751">
        <v>339</v>
      </c>
      <c r="K487" s="751">
        <v>7</v>
      </c>
      <c r="L487" s="752" t="s">
        <v>419</v>
      </c>
      <c r="M487" s="752" t="s">
        <v>44</v>
      </c>
      <c r="N487" s="752" t="s">
        <v>41</v>
      </c>
      <c r="O487" s="752" t="s">
        <v>41</v>
      </c>
      <c r="P487" s="752" t="s">
        <v>1091</v>
      </c>
      <c r="Q487" s="753">
        <v>7234237</v>
      </c>
      <c r="R487" s="753">
        <v>2217372</v>
      </c>
      <c r="S487" s="753">
        <v>7451263</v>
      </c>
      <c r="T487" s="753">
        <v>2283894</v>
      </c>
      <c r="U487" s="753">
        <v>315471.09000000003</v>
      </c>
      <c r="V487" s="751">
        <v>2019</v>
      </c>
      <c r="W487" s="222"/>
      <c r="X487" s="186" t="str">
        <f>IF(OR(K487&gt;3,T487=0,NOT(U487&gt;0)),"",T487/U487)</f>
        <v/>
      </c>
      <c r="Y487" s="178" t="str">
        <f t="shared" si="22"/>
        <v/>
      </c>
      <c r="Z487" s="178" t="str">
        <f t="shared" si="23"/>
        <v/>
      </c>
      <c r="AA487" s="44"/>
      <c r="AB487" s="65"/>
    </row>
    <row r="488" spans="1:28" hidden="1">
      <c r="A488" s="751">
        <v>10025</v>
      </c>
      <c r="B488" s="752" t="s">
        <v>56</v>
      </c>
      <c r="C488" s="751" t="s">
        <v>2960</v>
      </c>
      <c r="D488" s="752" t="s">
        <v>1463</v>
      </c>
      <c r="E488" s="752" t="s">
        <v>1463</v>
      </c>
      <c r="F488" s="751">
        <v>5624</v>
      </c>
      <c r="G488" s="752" t="s">
        <v>59</v>
      </c>
      <c r="H488" s="752" t="s">
        <v>1244</v>
      </c>
      <c r="I488" s="752" t="s">
        <v>60</v>
      </c>
      <c r="J488" s="751">
        <v>339</v>
      </c>
      <c r="K488" s="751">
        <v>7</v>
      </c>
      <c r="L488" s="752" t="s">
        <v>419</v>
      </c>
      <c r="M488" s="752" t="s">
        <v>44</v>
      </c>
      <c r="N488" s="752" t="s">
        <v>63</v>
      </c>
      <c r="O488" s="752" t="s">
        <v>63</v>
      </c>
      <c r="P488" s="752" t="s">
        <v>49</v>
      </c>
      <c r="Q488" s="753">
        <v>2880</v>
      </c>
      <c r="R488" s="753">
        <v>862</v>
      </c>
      <c r="S488" s="753">
        <v>16753</v>
      </c>
      <c r="T488" s="753">
        <v>5016</v>
      </c>
      <c r="U488" s="753">
        <v>691.3</v>
      </c>
      <c r="V488" s="751">
        <v>2019</v>
      </c>
      <c r="W488" s="222"/>
      <c r="X488" s="186"/>
      <c r="Y488" s="178" t="str">
        <f t="shared" si="22"/>
        <v/>
      </c>
      <c r="Z488" s="178" t="str">
        <f t="shared" si="23"/>
        <v/>
      </c>
      <c r="AA488" s="44"/>
      <c r="AB488" s="65"/>
    </row>
    <row r="489" spans="1:28" hidden="1">
      <c r="A489" s="751">
        <v>10029</v>
      </c>
      <c r="B489" s="752" t="s">
        <v>56</v>
      </c>
      <c r="C489" s="751" t="s">
        <v>2960</v>
      </c>
      <c r="D489" s="752" t="s">
        <v>793</v>
      </c>
      <c r="E489" s="752" t="s">
        <v>793</v>
      </c>
      <c r="F489" s="751">
        <v>7049</v>
      </c>
      <c r="G489" s="752" t="s">
        <v>83</v>
      </c>
      <c r="H489" s="752" t="s">
        <v>1245</v>
      </c>
      <c r="I489" s="752" t="s">
        <v>60</v>
      </c>
      <c r="J489" s="751">
        <v>336</v>
      </c>
      <c r="K489" s="751">
        <v>7</v>
      </c>
      <c r="L489" s="752" t="s">
        <v>419</v>
      </c>
      <c r="M489" s="752" t="s">
        <v>468</v>
      </c>
      <c r="N489" s="752" t="s">
        <v>469</v>
      </c>
      <c r="O489" s="752" t="s">
        <v>469</v>
      </c>
      <c r="P489" s="752" t="s">
        <v>1238</v>
      </c>
      <c r="Q489" s="753">
        <v>0</v>
      </c>
      <c r="R489" s="753">
        <v>0</v>
      </c>
      <c r="S489" s="753">
        <v>18474</v>
      </c>
      <c r="T489" s="753">
        <v>18474</v>
      </c>
      <c r="U489" s="753">
        <v>2075</v>
      </c>
      <c r="V489" s="751">
        <v>2019</v>
      </c>
      <c r="W489" s="222"/>
      <c r="X489" s="186"/>
      <c r="Y489" s="178" t="str">
        <f t="shared" si="22"/>
        <v/>
      </c>
      <c r="Z489" s="178" t="str">
        <f t="shared" si="23"/>
        <v/>
      </c>
      <c r="AA489" s="44"/>
      <c r="AB489" s="65"/>
    </row>
    <row r="490" spans="1:28" hidden="1">
      <c r="A490" s="751">
        <v>10029</v>
      </c>
      <c r="B490" s="752" t="s">
        <v>56</v>
      </c>
      <c r="C490" s="751" t="s">
        <v>2960</v>
      </c>
      <c r="D490" s="752" t="s">
        <v>793</v>
      </c>
      <c r="E490" s="752" t="s">
        <v>793</v>
      </c>
      <c r="F490" s="751">
        <v>7049</v>
      </c>
      <c r="G490" s="752" t="s">
        <v>83</v>
      </c>
      <c r="H490" s="752" t="s">
        <v>1245</v>
      </c>
      <c r="I490" s="752" t="s">
        <v>60</v>
      </c>
      <c r="J490" s="751">
        <v>336</v>
      </c>
      <c r="K490" s="751">
        <v>7</v>
      </c>
      <c r="L490" s="752" t="s">
        <v>419</v>
      </c>
      <c r="M490" s="752" t="s">
        <v>44</v>
      </c>
      <c r="N490" s="752" t="s">
        <v>48</v>
      </c>
      <c r="O490" s="752" t="s">
        <v>48</v>
      </c>
      <c r="P490" s="752" t="s">
        <v>49</v>
      </c>
      <c r="Q490" s="753">
        <v>0</v>
      </c>
      <c r="R490" s="753">
        <v>0</v>
      </c>
      <c r="S490" s="753">
        <v>0</v>
      </c>
      <c r="T490" s="753">
        <v>0</v>
      </c>
      <c r="U490" s="753">
        <v>0</v>
      </c>
      <c r="V490" s="751">
        <v>2019</v>
      </c>
      <c r="W490" s="222"/>
      <c r="X490" s="186"/>
      <c r="Y490" s="178" t="str">
        <f t="shared" si="22"/>
        <v/>
      </c>
      <c r="Z490" s="178" t="str">
        <f t="shared" si="23"/>
        <v/>
      </c>
      <c r="AA490" s="44"/>
      <c r="AB490" s="65"/>
    </row>
    <row r="491" spans="1:28" hidden="1">
      <c r="A491" s="751">
        <v>10029</v>
      </c>
      <c r="B491" s="752" t="s">
        <v>56</v>
      </c>
      <c r="C491" s="751" t="s">
        <v>2960</v>
      </c>
      <c r="D491" s="752" t="s">
        <v>793</v>
      </c>
      <c r="E491" s="752" t="s">
        <v>793</v>
      </c>
      <c r="F491" s="751">
        <v>7049</v>
      </c>
      <c r="G491" s="752" t="s">
        <v>83</v>
      </c>
      <c r="H491" s="752" t="s">
        <v>1245</v>
      </c>
      <c r="I491" s="752" t="s">
        <v>60</v>
      </c>
      <c r="J491" s="751">
        <v>336</v>
      </c>
      <c r="K491" s="751">
        <v>7</v>
      </c>
      <c r="L491" s="752" t="s">
        <v>419</v>
      </c>
      <c r="M491" s="752" t="s">
        <v>44</v>
      </c>
      <c r="N491" s="752" t="s">
        <v>41</v>
      </c>
      <c r="O491" s="752" t="s">
        <v>41</v>
      </c>
      <c r="P491" s="752" t="s">
        <v>1091</v>
      </c>
      <c r="Q491" s="753">
        <v>1528392</v>
      </c>
      <c r="R491" s="753">
        <v>301950</v>
      </c>
      <c r="S491" s="753">
        <v>1578095</v>
      </c>
      <c r="T491" s="753">
        <v>311749</v>
      </c>
      <c r="U491" s="753">
        <v>51836</v>
      </c>
      <c r="V491" s="751">
        <v>2019</v>
      </c>
      <c r="W491" s="222"/>
      <c r="X491" s="186" t="str">
        <f>IF(OR(K491&gt;3,T491=0,NOT(U491&gt;0)),"",T491/U491)</f>
        <v/>
      </c>
      <c r="Y491" s="178" t="str">
        <f t="shared" si="22"/>
        <v/>
      </c>
      <c r="Z491" s="178" t="str">
        <f t="shared" si="23"/>
        <v/>
      </c>
      <c r="AA491" s="44"/>
      <c r="AB491" s="65"/>
    </row>
    <row r="492" spans="1:28" hidden="1">
      <c r="A492" s="751">
        <v>10029</v>
      </c>
      <c r="B492" s="752" t="s">
        <v>56</v>
      </c>
      <c r="C492" s="751" t="s">
        <v>2960</v>
      </c>
      <c r="D492" s="752" t="s">
        <v>793</v>
      </c>
      <c r="E492" s="752" t="s">
        <v>793</v>
      </c>
      <c r="F492" s="751">
        <v>7049</v>
      </c>
      <c r="G492" s="752" t="s">
        <v>83</v>
      </c>
      <c r="H492" s="752" t="s">
        <v>1245</v>
      </c>
      <c r="I492" s="752" t="s">
        <v>60</v>
      </c>
      <c r="J492" s="751">
        <v>336</v>
      </c>
      <c r="K492" s="751">
        <v>7</v>
      </c>
      <c r="L492" s="752" t="s">
        <v>419</v>
      </c>
      <c r="M492" s="752" t="s">
        <v>44</v>
      </c>
      <c r="N492" s="752" t="s">
        <v>63</v>
      </c>
      <c r="O492" s="752" t="s">
        <v>63</v>
      </c>
      <c r="P492" s="752" t="s">
        <v>49</v>
      </c>
      <c r="Q492" s="753">
        <v>0</v>
      </c>
      <c r="R492" s="753">
        <v>0</v>
      </c>
      <c r="S492" s="753">
        <v>0</v>
      </c>
      <c r="T492" s="753">
        <v>0</v>
      </c>
      <c r="U492" s="753">
        <v>0</v>
      </c>
      <c r="V492" s="751">
        <v>2019</v>
      </c>
      <c r="W492" s="222"/>
      <c r="X492" s="186" t="str">
        <f>IF(OR(K492&gt;3,T492=0,NOT(U492&gt;0)),"",T492/U492)</f>
        <v/>
      </c>
      <c r="Y492" s="178" t="str">
        <f t="shared" si="22"/>
        <v/>
      </c>
      <c r="Z492" s="178" t="str">
        <f t="shared" si="23"/>
        <v/>
      </c>
      <c r="AA492" s="44"/>
      <c r="AB492" s="65"/>
    </row>
    <row r="493" spans="1:28" hidden="1">
      <c r="A493" s="751">
        <v>10036</v>
      </c>
      <c r="B493" s="752" t="s">
        <v>35</v>
      </c>
      <c r="C493" s="751" t="s">
        <v>2960</v>
      </c>
      <c r="D493" s="752" t="s">
        <v>794</v>
      </c>
      <c r="E493" s="752" t="s">
        <v>795</v>
      </c>
      <c r="F493" s="751">
        <v>56590</v>
      </c>
      <c r="G493" s="752" t="s">
        <v>98</v>
      </c>
      <c r="H493" s="752" t="s">
        <v>1245</v>
      </c>
      <c r="I493" s="752" t="s">
        <v>60</v>
      </c>
      <c r="J493" s="751">
        <v>22</v>
      </c>
      <c r="K493" s="751">
        <v>2</v>
      </c>
      <c r="L493" s="752" t="s">
        <v>54</v>
      </c>
      <c r="M493" s="752" t="s">
        <v>37</v>
      </c>
      <c r="N493" s="752" t="s">
        <v>38</v>
      </c>
      <c r="O493" s="752" t="s">
        <v>39</v>
      </c>
      <c r="P493" s="752" t="s">
        <v>1238</v>
      </c>
      <c r="Q493" s="753">
        <v>0</v>
      </c>
      <c r="R493" s="753">
        <v>0</v>
      </c>
      <c r="S493" s="753">
        <v>37503</v>
      </c>
      <c r="T493" s="753">
        <v>37503</v>
      </c>
      <c r="U493" s="753">
        <v>4212</v>
      </c>
      <c r="V493" s="751">
        <v>2019</v>
      </c>
      <c r="W493" s="222"/>
      <c r="X493" s="186"/>
      <c r="Y493" s="178" t="str">
        <f t="shared" si="22"/>
        <v/>
      </c>
      <c r="Z493" s="178" t="str">
        <f t="shared" si="23"/>
        <v/>
      </c>
      <c r="AA493" s="44"/>
      <c r="AB493" s="65"/>
    </row>
    <row r="494" spans="1:28" hidden="1">
      <c r="A494" s="751">
        <v>10063</v>
      </c>
      <c r="B494" s="752" t="s">
        <v>35</v>
      </c>
      <c r="C494" s="751" t="s">
        <v>2960</v>
      </c>
      <c r="D494" s="752" t="s">
        <v>796</v>
      </c>
      <c r="E494" s="752" t="s">
        <v>797</v>
      </c>
      <c r="F494" s="751">
        <v>11943</v>
      </c>
      <c r="G494" s="752" t="s">
        <v>43</v>
      </c>
      <c r="H494" s="752" t="s">
        <v>1245</v>
      </c>
      <c r="I494" s="752" t="s">
        <v>60</v>
      </c>
      <c r="J494" s="751">
        <v>22</v>
      </c>
      <c r="K494" s="751">
        <v>2</v>
      </c>
      <c r="L494" s="752" t="s">
        <v>54</v>
      </c>
      <c r="M494" s="752" t="s">
        <v>37</v>
      </c>
      <c r="N494" s="752" t="s">
        <v>38</v>
      </c>
      <c r="O494" s="752" t="s">
        <v>39</v>
      </c>
      <c r="P494" s="752" t="s">
        <v>1238</v>
      </c>
      <c r="Q494" s="753">
        <v>0</v>
      </c>
      <c r="R494" s="753">
        <v>0</v>
      </c>
      <c r="S494" s="753">
        <v>154343</v>
      </c>
      <c r="T494" s="753">
        <v>154343</v>
      </c>
      <c r="U494" s="753">
        <v>17334</v>
      </c>
      <c r="V494" s="751">
        <v>2019</v>
      </c>
      <c r="W494" s="222"/>
      <c r="X494" s="186"/>
      <c r="Y494" s="178" t="str">
        <f t="shared" si="22"/>
        <v/>
      </c>
      <c r="Z494" s="178" t="str">
        <f t="shared" si="23"/>
        <v/>
      </c>
      <c r="AA494" s="44"/>
      <c r="AB494" s="65"/>
    </row>
    <row r="495" spans="1:28" hidden="1">
      <c r="A495" s="751">
        <v>10066</v>
      </c>
      <c r="B495" s="752" t="s">
        <v>35</v>
      </c>
      <c r="C495" s="751" t="s">
        <v>2960</v>
      </c>
      <c r="D495" s="752" t="s">
        <v>798</v>
      </c>
      <c r="E495" s="752" t="s">
        <v>799</v>
      </c>
      <c r="F495" s="751">
        <v>12401</v>
      </c>
      <c r="G495" s="752" t="s">
        <v>92</v>
      </c>
      <c r="H495" s="752" t="s">
        <v>1245</v>
      </c>
      <c r="I495" s="752" t="s">
        <v>60</v>
      </c>
      <c r="J495" s="751">
        <v>22</v>
      </c>
      <c r="K495" s="751">
        <v>2</v>
      </c>
      <c r="L495" s="752" t="s">
        <v>54</v>
      </c>
      <c r="M495" s="752" t="s">
        <v>37</v>
      </c>
      <c r="N495" s="752" t="s">
        <v>38</v>
      </c>
      <c r="O495" s="752" t="s">
        <v>39</v>
      </c>
      <c r="P495" s="752" t="s">
        <v>1238</v>
      </c>
      <c r="Q495" s="753">
        <v>0</v>
      </c>
      <c r="R495" s="753">
        <v>0</v>
      </c>
      <c r="S495" s="753">
        <v>254388</v>
      </c>
      <c r="T495" s="753">
        <v>254388</v>
      </c>
      <c r="U495" s="753">
        <v>28570</v>
      </c>
      <c r="V495" s="751">
        <v>2019</v>
      </c>
      <c r="W495" s="222"/>
      <c r="X495" s="186"/>
      <c r="Y495" s="178" t="str">
        <f t="shared" si="22"/>
        <v/>
      </c>
      <c r="Z495" s="178" t="str">
        <f t="shared" si="23"/>
        <v/>
      </c>
      <c r="AA495" s="44"/>
      <c r="AB495" s="65"/>
    </row>
    <row r="496" spans="1:28" ht="25" hidden="1">
      <c r="A496" s="751">
        <v>10108</v>
      </c>
      <c r="B496" s="752" t="s">
        <v>56</v>
      </c>
      <c r="C496" s="751" t="s">
        <v>2960</v>
      </c>
      <c r="D496" s="752" t="s">
        <v>800</v>
      </c>
      <c r="E496" s="752" t="s">
        <v>801</v>
      </c>
      <c r="F496" s="751">
        <v>6636</v>
      </c>
      <c r="G496" s="752" t="s">
        <v>98</v>
      </c>
      <c r="H496" s="752" t="s">
        <v>1245</v>
      </c>
      <c r="I496" s="752" t="s">
        <v>60</v>
      </c>
      <c r="J496" s="751">
        <v>314</v>
      </c>
      <c r="K496" s="751">
        <v>7</v>
      </c>
      <c r="L496" s="752" t="s">
        <v>419</v>
      </c>
      <c r="M496" s="752" t="s">
        <v>52</v>
      </c>
      <c r="N496" s="752" t="s">
        <v>48</v>
      </c>
      <c r="O496" s="752" t="s">
        <v>48</v>
      </c>
      <c r="P496" s="752" t="s">
        <v>49</v>
      </c>
      <c r="Q496" s="753">
        <v>0</v>
      </c>
      <c r="R496" s="753">
        <v>0</v>
      </c>
      <c r="S496" s="753">
        <v>0</v>
      </c>
      <c r="T496" s="753">
        <v>0</v>
      </c>
      <c r="U496" s="753">
        <v>0</v>
      </c>
      <c r="V496" s="751">
        <v>2019</v>
      </c>
      <c r="W496" s="222"/>
      <c r="X496" s="186"/>
      <c r="Y496" s="178" t="str">
        <f t="shared" si="22"/>
        <v/>
      </c>
      <c r="Z496" s="178" t="str">
        <f t="shared" si="23"/>
        <v/>
      </c>
      <c r="AA496" s="44"/>
      <c r="AB496" s="65"/>
    </row>
    <row r="497" spans="1:28" ht="25" hidden="1">
      <c r="A497" s="751">
        <v>10108</v>
      </c>
      <c r="B497" s="752" t="s">
        <v>56</v>
      </c>
      <c r="C497" s="751" t="s">
        <v>2960</v>
      </c>
      <c r="D497" s="752" t="s">
        <v>800</v>
      </c>
      <c r="E497" s="752" t="s">
        <v>801</v>
      </c>
      <c r="F497" s="751">
        <v>6636</v>
      </c>
      <c r="G497" s="752" t="s">
        <v>98</v>
      </c>
      <c r="H497" s="752" t="s">
        <v>1245</v>
      </c>
      <c r="I497" s="752" t="s">
        <v>60</v>
      </c>
      <c r="J497" s="751">
        <v>314</v>
      </c>
      <c r="K497" s="751">
        <v>7</v>
      </c>
      <c r="L497" s="752" t="s">
        <v>419</v>
      </c>
      <c r="M497" s="752" t="s">
        <v>52</v>
      </c>
      <c r="N497" s="752" t="s">
        <v>41</v>
      </c>
      <c r="O497" s="752" t="s">
        <v>41</v>
      </c>
      <c r="P497" s="752" t="s">
        <v>1091</v>
      </c>
      <c r="Q497" s="753">
        <v>349585</v>
      </c>
      <c r="R497" s="753">
        <v>188323</v>
      </c>
      <c r="S497" s="753">
        <v>356576</v>
      </c>
      <c r="T497" s="753">
        <v>192089</v>
      </c>
      <c r="U497" s="753">
        <v>29838</v>
      </c>
      <c r="V497" s="751">
        <v>2019</v>
      </c>
      <c r="W497" s="222"/>
      <c r="X497" s="186" t="str">
        <f>IF(OR(K497&gt;3,T497=0,NOT(U497&gt;0)),"",T497/U497)</f>
        <v/>
      </c>
      <c r="Y497" s="178">
        <f t="shared" si="22"/>
        <v>5.5325920464334573</v>
      </c>
      <c r="Z497" s="178" t="str">
        <f t="shared" si="23"/>
        <v/>
      </c>
      <c r="AA497" s="44"/>
      <c r="AB497" s="65"/>
    </row>
    <row r="498" spans="1:28" hidden="1">
      <c r="A498" s="751">
        <v>10109</v>
      </c>
      <c r="B498" s="752" t="s">
        <v>35</v>
      </c>
      <c r="C498" s="751" t="s">
        <v>2960</v>
      </c>
      <c r="D498" s="752" t="s">
        <v>2456</v>
      </c>
      <c r="E498" s="752" t="s">
        <v>1159</v>
      </c>
      <c r="F498" s="751">
        <v>57280</v>
      </c>
      <c r="G498" s="752" t="s">
        <v>98</v>
      </c>
      <c r="H498" s="752" t="s">
        <v>1245</v>
      </c>
      <c r="I498" s="752" t="s">
        <v>60</v>
      </c>
      <c r="J498" s="751">
        <v>22</v>
      </c>
      <c r="K498" s="751">
        <v>2</v>
      </c>
      <c r="L498" s="752" t="s">
        <v>54</v>
      </c>
      <c r="M498" s="752" t="s">
        <v>37</v>
      </c>
      <c r="N498" s="752" t="s">
        <v>38</v>
      </c>
      <c r="O498" s="752" t="s">
        <v>39</v>
      </c>
      <c r="P498" s="752" t="s">
        <v>1238</v>
      </c>
      <c r="Q498" s="753">
        <v>0</v>
      </c>
      <c r="R498" s="753">
        <v>0</v>
      </c>
      <c r="S498" s="753">
        <v>62629</v>
      </c>
      <c r="T498" s="753">
        <v>62629</v>
      </c>
      <c r="U498" s="753">
        <v>7034</v>
      </c>
      <c r="V498" s="751">
        <v>2019</v>
      </c>
      <c r="W498" s="222"/>
      <c r="X498" s="186"/>
      <c r="Y498" s="178" t="str">
        <f t="shared" si="22"/>
        <v/>
      </c>
      <c r="Z498" s="178" t="str">
        <f t="shared" si="23"/>
        <v/>
      </c>
      <c r="AA498" s="44"/>
      <c r="AB498" s="65"/>
    </row>
    <row r="499" spans="1:28" hidden="1">
      <c r="A499" s="751">
        <v>10116</v>
      </c>
      <c r="B499" s="752" t="s">
        <v>35</v>
      </c>
      <c r="C499" s="751" t="s">
        <v>2960</v>
      </c>
      <c r="D499" s="752" t="s">
        <v>802</v>
      </c>
      <c r="E499" s="752" t="s">
        <v>803</v>
      </c>
      <c r="F499" s="751">
        <v>9357</v>
      </c>
      <c r="G499" s="752" t="s">
        <v>59</v>
      </c>
      <c r="H499" s="752" t="s">
        <v>1244</v>
      </c>
      <c r="I499" s="752" t="s">
        <v>60</v>
      </c>
      <c r="J499" s="751">
        <v>22</v>
      </c>
      <c r="K499" s="751">
        <v>2</v>
      </c>
      <c r="L499" s="752" t="s">
        <v>54</v>
      </c>
      <c r="M499" s="752" t="s">
        <v>37</v>
      </c>
      <c r="N499" s="752" t="s">
        <v>38</v>
      </c>
      <c r="O499" s="752" t="s">
        <v>39</v>
      </c>
      <c r="P499" s="752" t="s">
        <v>1238</v>
      </c>
      <c r="Q499" s="753">
        <v>0</v>
      </c>
      <c r="R499" s="753">
        <v>0</v>
      </c>
      <c r="S499" s="753">
        <v>157406</v>
      </c>
      <c r="T499" s="753">
        <v>157406</v>
      </c>
      <c r="U499" s="753">
        <v>17678</v>
      </c>
      <c r="V499" s="751">
        <v>2019</v>
      </c>
      <c r="W499" s="222"/>
      <c r="X499" s="186"/>
      <c r="Y499" s="178" t="str">
        <f t="shared" si="22"/>
        <v/>
      </c>
      <c r="Z499" s="178" t="str">
        <f t="shared" si="23"/>
        <v/>
      </c>
      <c r="AA499" s="44"/>
      <c r="AB499" s="65"/>
    </row>
    <row r="500" spans="1:28" ht="25" hidden="1">
      <c r="A500" s="751">
        <v>10124</v>
      </c>
      <c r="B500" s="752" t="s">
        <v>35</v>
      </c>
      <c r="C500" s="751" t="s">
        <v>2960</v>
      </c>
      <c r="D500" s="752" t="s">
        <v>804</v>
      </c>
      <c r="E500" s="752" t="s">
        <v>1665</v>
      </c>
      <c r="F500" s="751">
        <v>59136</v>
      </c>
      <c r="G500" s="752" t="s">
        <v>59</v>
      </c>
      <c r="H500" s="752" t="s">
        <v>1244</v>
      </c>
      <c r="I500" s="752" t="s">
        <v>60</v>
      </c>
      <c r="J500" s="751">
        <v>22</v>
      </c>
      <c r="K500" s="751">
        <v>2</v>
      </c>
      <c r="L500" s="752" t="s">
        <v>54</v>
      </c>
      <c r="M500" s="752" t="s">
        <v>37</v>
      </c>
      <c r="N500" s="752" t="s">
        <v>38</v>
      </c>
      <c r="O500" s="752" t="s">
        <v>39</v>
      </c>
      <c r="P500" s="752" t="s">
        <v>1238</v>
      </c>
      <c r="Q500" s="753">
        <v>0</v>
      </c>
      <c r="R500" s="753">
        <v>0</v>
      </c>
      <c r="S500" s="753">
        <v>14245</v>
      </c>
      <c r="T500" s="753">
        <v>14245</v>
      </c>
      <c r="U500" s="753">
        <v>1600</v>
      </c>
      <c r="V500" s="751">
        <v>2019</v>
      </c>
      <c r="W500" s="222"/>
      <c r="X500" s="186"/>
      <c r="Y500" s="86" t="str">
        <f t="shared" si="22"/>
        <v/>
      </c>
      <c r="Z500" s="86" t="str">
        <f t="shared" si="23"/>
        <v/>
      </c>
      <c r="AA500" s="44"/>
      <c r="AB500" s="65"/>
    </row>
    <row r="501" spans="1:28" hidden="1">
      <c r="A501" s="751">
        <v>10137</v>
      </c>
      <c r="B501" s="752" t="s">
        <v>35</v>
      </c>
      <c r="C501" s="751" t="s">
        <v>2960</v>
      </c>
      <c r="D501" s="752" t="s">
        <v>805</v>
      </c>
      <c r="E501" s="752" t="s">
        <v>137</v>
      </c>
      <c r="F501" s="751">
        <v>7601</v>
      </c>
      <c r="G501" s="752" t="s">
        <v>91</v>
      </c>
      <c r="H501" s="752" t="s">
        <v>1245</v>
      </c>
      <c r="I501" s="752" t="s">
        <v>60</v>
      </c>
      <c r="J501" s="751">
        <v>22</v>
      </c>
      <c r="K501" s="751">
        <v>1</v>
      </c>
      <c r="L501" s="752" t="s">
        <v>36</v>
      </c>
      <c r="M501" s="752" t="s">
        <v>37</v>
      </c>
      <c r="N501" s="752" t="s">
        <v>38</v>
      </c>
      <c r="O501" s="752" t="s">
        <v>39</v>
      </c>
      <c r="P501" s="752" t="s">
        <v>1238</v>
      </c>
      <c r="Q501" s="753">
        <v>0</v>
      </c>
      <c r="R501" s="753">
        <v>0</v>
      </c>
      <c r="S501" s="753">
        <v>19198</v>
      </c>
      <c r="T501" s="753">
        <v>19198</v>
      </c>
      <c r="U501" s="753">
        <v>2156</v>
      </c>
      <c r="V501" s="751">
        <v>2019</v>
      </c>
      <c r="W501" s="222"/>
      <c r="X501" s="186"/>
      <c r="Y501" s="86" t="str">
        <f t="shared" si="22"/>
        <v/>
      </c>
      <c r="Z501" s="86" t="str">
        <f t="shared" si="23"/>
        <v/>
      </c>
      <c r="AA501" s="44"/>
      <c r="AB501" s="65"/>
    </row>
    <row r="502" spans="1:28" hidden="1">
      <c r="A502" s="751">
        <v>10176</v>
      </c>
      <c r="B502" s="752" t="s">
        <v>35</v>
      </c>
      <c r="C502" s="751" t="s">
        <v>2960</v>
      </c>
      <c r="D502" s="752" t="s">
        <v>806</v>
      </c>
      <c r="E502" s="752" t="s">
        <v>807</v>
      </c>
      <c r="F502" s="751">
        <v>11724</v>
      </c>
      <c r="G502" s="752" t="s">
        <v>83</v>
      </c>
      <c r="H502" s="752" t="s">
        <v>1245</v>
      </c>
      <c r="I502" s="752" t="s">
        <v>60</v>
      </c>
      <c r="J502" s="751">
        <v>22</v>
      </c>
      <c r="K502" s="751">
        <v>2</v>
      </c>
      <c r="L502" s="752" t="s">
        <v>54</v>
      </c>
      <c r="M502" s="752" t="s">
        <v>52</v>
      </c>
      <c r="N502" s="752" t="s">
        <v>78</v>
      </c>
      <c r="O502" s="752" t="s">
        <v>69</v>
      </c>
      <c r="P502" s="752" t="s">
        <v>49</v>
      </c>
      <c r="Q502" s="753">
        <v>1587</v>
      </c>
      <c r="R502" s="753">
        <v>1587</v>
      </c>
      <c r="S502" s="753">
        <v>8932</v>
      </c>
      <c r="T502" s="753">
        <v>8932</v>
      </c>
      <c r="U502" s="753">
        <v>309</v>
      </c>
      <c r="V502" s="751">
        <v>2019</v>
      </c>
      <c r="W502" s="222"/>
      <c r="X502" s="186"/>
      <c r="Y502" s="86" t="str">
        <f t="shared" si="22"/>
        <v/>
      </c>
      <c r="Z502" s="86" t="str">
        <f t="shared" si="23"/>
        <v/>
      </c>
      <c r="AA502" s="44"/>
      <c r="AB502" s="65"/>
    </row>
    <row r="503" spans="1:28" hidden="1">
      <c r="A503" s="751">
        <v>10183</v>
      </c>
      <c r="B503" s="752" t="s">
        <v>35</v>
      </c>
      <c r="C503" s="751" t="s">
        <v>2960</v>
      </c>
      <c r="D503" s="752" t="s">
        <v>808</v>
      </c>
      <c r="E503" s="752" t="s">
        <v>2457</v>
      </c>
      <c r="F503" s="751">
        <v>61979</v>
      </c>
      <c r="G503" s="752" t="s">
        <v>98</v>
      </c>
      <c r="H503" s="752" t="s">
        <v>1245</v>
      </c>
      <c r="I503" s="752" t="s">
        <v>60</v>
      </c>
      <c r="J503" s="751">
        <v>22</v>
      </c>
      <c r="K503" s="751">
        <v>2</v>
      </c>
      <c r="L503" s="752" t="s">
        <v>54</v>
      </c>
      <c r="M503" s="752" t="s">
        <v>37</v>
      </c>
      <c r="N503" s="752" t="s">
        <v>38</v>
      </c>
      <c r="O503" s="752" t="s">
        <v>39</v>
      </c>
      <c r="P503" s="752" t="s">
        <v>1238</v>
      </c>
      <c r="Q503" s="753">
        <v>0</v>
      </c>
      <c r="R503" s="753">
        <v>0</v>
      </c>
      <c r="S503" s="753">
        <v>86609</v>
      </c>
      <c r="T503" s="753">
        <v>86609</v>
      </c>
      <c r="U503" s="753">
        <v>9727</v>
      </c>
      <c r="V503" s="751">
        <v>2019</v>
      </c>
      <c r="W503" s="222"/>
      <c r="X503" s="186">
        <f>IF(OR(K503&gt;3,T503=0,NOT(U503&gt;0)),"",T503/U503)</f>
        <v>8.9039786162228847</v>
      </c>
      <c r="Y503" s="86" t="str">
        <f t="shared" si="22"/>
        <v/>
      </c>
      <c r="Z503" s="86" t="str">
        <f t="shared" si="23"/>
        <v/>
      </c>
      <c r="AA503" s="44"/>
      <c r="AB503" s="65"/>
    </row>
    <row r="504" spans="1:28" hidden="1">
      <c r="A504" s="751">
        <v>10186</v>
      </c>
      <c r="B504" s="752" t="s">
        <v>35</v>
      </c>
      <c r="C504" s="751" t="s">
        <v>2960</v>
      </c>
      <c r="D504" s="752" t="s">
        <v>421</v>
      </c>
      <c r="E504" s="752" t="s">
        <v>1159</v>
      </c>
      <c r="F504" s="751">
        <v>57280</v>
      </c>
      <c r="G504" s="752" t="s">
        <v>92</v>
      </c>
      <c r="H504" s="752" t="s">
        <v>1245</v>
      </c>
      <c r="I504" s="752" t="s">
        <v>60</v>
      </c>
      <c r="J504" s="751">
        <v>22</v>
      </c>
      <c r="K504" s="751">
        <v>2</v>
      </c>
      <c r="L504" s="752" t="s">
        <v>54</v>
      </c>
      <c r="M504" s="752" t="s">
        <v>37</v>
      </c>
      <c r="N504" s="752" t="s">
        <v>38</v>
      </c>
      <c r="O504" s="752" t="s">
        <v>39</v>
      </c>
      <c r="P504" s="752" t="s">
        <v>1238</v>
      </c>
      <c r="Q504" s="753">
        <v>0</v>
      </c>
      <c r="R504" s="753">
        <v>0</v>
      </c>
      <c r="S504" s="753">
        <v>1156371</v>
      </c>
      <c r="T504" s="753">
        <v>1156371</v>
      </c>
      <c r="U504" s="753">
        <v>129871</v>
      </c>
      <c r="V504" s="751">
        <v>2019</v>
      </c>
      <c r="W504" s="222"/>
      <c r="X504" s="186"/>
      <c r="Y504" s="86" t="str">
        <f t="shared" si="22"/>
        <v/>
      </c>
      <c r="Z504" s="86" t="str">
        <f t="shared" si="23"/>
        <v/>
      </c>
      <c r="AA504" s="44"/>
      <c r="AB504" s="65"/>
    </row>
    <row r="505" spans="1:28" ht="25" hidden="1">
      <c r="A505" s="751">
        <v>10186</v>
      </c>
      <c r="B505" s="752" t="s">
        <v>35</v>
      </c>
      <c r="C505" s="751" t="s">
        <v>2960</v>
      </c>
      <c r="D505" s="752" t="s">
        <v>421</v>
      </c>
      <c r="E505" s="752" t="s">
        <v>1159</v>
      </c>
      <c r="F505" s="751">
        <v>57280</v>
      </c>
      <c r="G505" s="752" t="s">
        <v>92</v>
      </c>
      <c r="H505" s="752" t="s">
        <v>1245</v>
      </c>
      <c r="I505" s="752" t="s">
        <v>60</v>
      </c>
      <c r="J505" s="751">
        <v>22</v>
      </c>
      <c r="K505" s="751">
        <v>2</v>
      </c>
      <c r="L505" s="752" t="s">
        <v>54</v>
      </c>
      <c r="M505" s="752" t="s">
        <v>44</v>
      </c>
      <c r="N505" s="752" t="s">
        <v>45</v>
      </c>
      <c r="O505" s="752" t="s">
        <v>46</v>
      </c>
      <c r="P505" s="752" t="s">
        <v>47</v>
      </c>
      <c r="Q505" s="753">
        <v>0</v>
      </c>
      <c r="R505" s="753">
        <v>0</v>
      </c>
      <c r="S505" s="753">
        <v>0</v>
      </c>
      <c r="T505" s="753">
        <v>0</v>
      </c>
      <c r="U505" s="753">
        <v>0</v>
      </c>
      <c r="V505" s="751">
        <v>2019</v>
      </c>
      <c r="W505" s="222"/>
      <c r="X505" s="186"/>
      <c r="Y505" s="86" t="str">
        <f t="shared" si="22"/>
        <v/>
      </c>
      <c r="Z505" s="86" t="str">
        <f t="shared" si="23"/>
        <v/>
      </c>
      <c r="AA505" s="44"/>
      <c r="AB505" s="65"/>
    </row>
    <row r="506" spans="1:28" hidden="1">
      <c r="A506" s="751">
        <v>10186</v>
      </c>
      <c r="B506" s="752" t="s">
        <v>35</v>
      </c>
      <c r="C506" s="751" t="s">
        <v>2960</v>
      </c>
      <c r="D506" s="752" t="s">
        <v>421</v>
      </c>
      <c r="E506" s="752" t="s">
        <v>1159</v>
      </c>
      <c r="F506" s="751">
        <v>57280</v>
      </c>
      <c r="G506" s="752" t="s">
        <v>92</v>
      </c>
      <c r="H506" s="752" t="s">
        <v>1245</v>
      </c>
      <c r="I506" s="752" t="s">
        <v>60</v>
      </c>
      <c r="J506" s="751">
        <v>22</v>
      </c>
      <c r="K506" s="751">
        <v>2</v>
      </c>
      <c r="L506" s="752" t="s">
        <v>54</v>
      </c>
      <c r="M506" s="752" t="s">
        <v>44</v>
      </c>
      <c r="N506" s="752" t="s">
        <v>41</v>
      </c>
      <c r="O506" s="752" t="s">
        <v>41</v>
      </c>
      <c r="P506" s="752" t="s">
        <v>1091</v>
      </c>
      <c r="Q506" s="753">
        <v>0</v>
      </c>
      <c r="R506" s="753">
        <v>0</v>
      </c>
      <c r="S506" s="753">
        <v>0</v>
      </c>
      <c r="T506" s="753">
        <v>0</v>
      </c>
      <c r="U506" s="753">
        <v>0</v>
      </c>
      <c r="V506" s="751">
        <v>2019</v>
      </c>
      <c r="W506" s="222"/>
      <c r="X506" s="186" t="str">
        <f>IF(OR(K506&gt;3,T506=0,NOT(U506&gt;0)),"",T506/U506)</f>
        <v/>
      </c>
      <c r="Y506" s="86" t="str">
        <f t="shared" si="22"/>
        <v/>
      </c>
      <c r="Z506" s="86" t="str">
        <f t="shared" si="23"/>
        <v/>
      </c>
      <c r="AA506" s="44"/>
      <c r="AB506" s="65"/>
    </row>
    <row r="507" spans="1:28" hidden="1">
      <c r="A507" s="751">
        <v>10186</v>
      </c>
      <c r="B507" s="752" t="s">
        <v>35</v>
      </c>
      <c r="C507" s="751" t="s">
        <v>2960</v>
      </c>
      <c r="D507" s="752" t="s">
        <v>421</v>
      </c>
      <c r="E507" s="752" t="s">
        <v>1159</v>
      </c>
      <c r="F507" s="751">
        <v>57280</v>
      </c>
      <c r="G507" s="752" t="s">
        <v>92</v>
      </c>
      <c r="H507" s="752" t="s">
        <v>1245</v>
      </c>
      <c r="I507" s="752" t="s">
        <v>60</v>
      </c>
      <c r="J507" s="751">
        <v>22</v>
      </c>
      <c r="K507" s="751">
        <v>2</v>
      </c>
      <c r="L507" s="752" t="s">
        <v>54</v>
      </c>
      <c r="M507" s="752" t="s">
        <v>44</v>
      </c>
      <c r="N507" s="752" t="s">
        <v>63</v>
      </c>
      <c r="O507" s="752" t="s">
        <v>63</v>
      </c>
      <c r="P507" s="752" t="s">
        <v>49</v>
      </c>
      <c r="Q507" s="753">
        <v>0</v>
      </c>
      <c r="R507" s="753">
        <v>0</v>
      </c>
      <c r="S507" s="753">
        <v>0</v>
      </c>
      <c r="T507" s="753">
        <v>0</v>
      </c>
      <c r="U507" s="753">
        <v>0</v>
      </c>
      <c r="V507" s="751">
        <v>2019</v>
      </c>
      <c r="W507" s="222"/>
      <c r="X507" s="186"/>
      <c r="Y507" s="86" t="str">
        <f t="shared" si="22"/>
        <v/>
      </c>
      <c r="Z507" s="86" t="str">
        <f t="shared" si="23"/>
        <v/>
      </c>
      <c r="AA507" s="44"/>
      <c r="AB507" s="65"/>
    </row>
    <row r="508" spans="1:28" hidden="1">
      <c r="A508" s="751">
        <v>10190</v>
      </c>
      <c r="B508" s="752" t="s">
        <v>35</v>
      </c>
      <c r="C508" s="751" t="s">
        <v>2960</v>
      </c>
      <c r="D508" s="752" t="s">
        <v>809</v>
      </c>
      <c r="E508" s="752" t="s">
        <v>2013</v>
      </c>
      <c r="F508" s="751">
        <v>60741</v>
      </c>
      <c r="G508" s="752" t="s">
        <v>59</v>
      </c>
      <c r="H508" s="752" t="s">
        <v>1244</v>
      </c>
      <c r="I508" s="752" t="s">
        <v>60</v>
      </c>
      <c r="J508" s="751">
        <v>22</v>
      </c>
      <c r="K508" s="751">
        <v>2</v>
      </c>
      <c r="L508" s="752" t="s">
        <v>54</v>
      </c>
      <c r="M508" s="752" t="s">
        <v>40</v>
      </c>
      <c r="N508" s="752" t="s">
        <v>48</v>
      </c>
      <c r="O508" s="752" t="s">
        <v>48</v>
      </c>
      <c r="P508" s="752" t="s">
        <v>49</v>
      </c>
      <c r="Q508" s="753">
        <v>0</v>
      </c>
      <c r="R508" s="753">
        <v>0</v>
      </c>
      <c r="S508" s="753">
        <v>0</v>
      </c>
      <c r="T508" s="753">
        <v>0</v>
      </c>
      <c r="U508" s="753">
        <v>15.976000000000001</v>
      </c>
      <c r="V508" s="751">
        <v>2019</v>
      </c>
      <c r="W508" s="222" t="s">
        <v>2666</v>
      </c>
      <c r="X508" s="186"/>
      <c r="Y508" s="178" t="str">
        <f t="shared" si="22"/>
        <v/>
      </c>
      <c r="Z508" s="178" t="str">
        <f t="shared" si="23"/>
        <v/>
      </c>
      <c r="AA508" s="44"/>
      <c r="AB508" s="65"/>
    </row>
    <row r="509" spans="1:28" hidden="1">
      <c r="A509" s="751">
        <v>10190</v>
      </c>
      <c r="B509" s="752" t="s">
        <v>35</v>
      </c>
      <c r="C509" s="751" t="s">
        <v>2960</v>
      </c>
      <c r="D509" s="752" t="s">
        <v>809</v>
      </c>
      <c r="E509" s="752" t="s">
        <v>2013</v>
      </c>
      <c r="F509" s="751">
        <v>60741</v>
      </c>
      <c r="G509" s="752" t="s">
        <v>59</v>
      </c>
      <c r="H509" s="752" t="s">
        <v>1244</v>
      </c>
      <c r="I509" s="752" t="s">
        <v>60</v>
      </c>
      <c r="J509" s="751">
        <v>22</v>
      </c>
      <c r="K509" s="751">
        <v>2</v>
      </c>
      <c r="L509" s="752" t="s">
        <v>54</v>
      </c>
      <c r="M509" s="752" t="s">
        <v>40</v>
      </c>
      <c r="N509" s="752" t="s">
        <v>41</v>
      </c>
      <c r="O509" s="752" t="s">
        <v>41</v>
      </c>
      <c r="P509" s="752" t="s">
        <v>1091</v>
      </c>
      <c r="Q509" s="753">
        <v>48605</v>
      </c>
      <c r="R509" s="753">
        <v>48605</v>
      </c>
      <c r="S509" s="753">
        <v>50062</v>
      </c>
      <c r="T509" s="753">
        <v>50062</v>
      </c>
      <c r="U509" s="753">
        <v>36672.023999999998</v>
      </c>
      <c r="V509" s="751">
        <v>2019</v>
      </c>
      <c r="W509" s="222" t="s">
        <v>2666</v>
      </c>
      <c r="X509" s="186"/>
      <c r="Y509" s="178" t="str">
        <f t="shared" si="22"/>
        <v/>
      </c>
      <c r="Z509" s="178" t="str">
        <f t="shared" si="23"/>
        <v/>
      </c>
      <c r="AA509" s="44"/>
      <c r="AB509" s="65"/>
    </row>
    <row r="510" spans="1:28" hidden="1">
      <c r="A510" s="751">
        <v>10190</v>
      </c>
      <c r="B510" s="752" t="s">
        <v>35</v>
      </c>
      <c r="C510" s="751" t="s">
        <v>2960</v>
      </c>
      <c r="D510" s="752" t="s">
        <v>809</v>
      </c>
      <c r="E510" s="752" t="s">
        <v>2013</v>
      </c>
      <c r="F510" s="751">
        <v>60741</v>
      </c>
      <c r="G510" s="752" t="s">
        <v>59</v>
      </c>
      <c r="H510" s="752" t="s">
        <v>1244</v>
      </c>
      <c r="I510" s="752" t="s">
        <v>60</v>
      </c>
      <c r="J510" s="751">
        <v>22</v>
      </c>
      <c r="K510" s="751">
        <v>2</v>
      </c>
      <c r="L510" s="752" t="s">
        <v>54</v>
      </c>
      <c r="M510" s="752" t="s">
        <v>43</v>
      </c>
      <c r="N510" s="752" t="s">
        <v>48</v>
      </c>
      <c r="O510" s="752" t="s">
        <v>48</v>
      </c>
      <c r="P510" s="752" t="s">
        <v>49</v>
      </c>
      <c r="Q510" s="753">
        <v>87</v>
      </c>
      <c r="R510" s="753">
        <v>87</v>
      </c>
      <c r="S510" s="753">
        <v>512</v>
      </c>
      <c r="T510" s="753">
        <v>512</v>
      </c>
      <c r="U510" s="753">
        <v>40.909999999999997</v>
      </c>
      <c r="V510" s="751">
        <v>2019</v>
      </c>
      <c r="W510" s="222" t="s">
        <v>2666</v>
      </c>
      <c r="X510" s="186"/>
      <c r="Y510" s="178" t="str">
        <f t="shared" si="22"/>
        <v/>
      </c>
      <c r="Z510" s="178" t="str">
        <f t="shared" si="23"/>
        <v/>
      </c>
      <c r="AA510" s="44"/>
      <c r="AB510" s="65"/>
    </row>
    <row r="511" spans="1:28" hidden="1">
      <c r="A511" s="751">
        <v>10190</v>
      </c>
      <c r="B511" s="752" t="s">
        <v>35</v>
      </c>
      <c r="C511" s="751" t="s">
        <v>2960</v>
      </c>
      <c r="D511" s="752" t="s">
        <v>809</v>
      </c>
      <c r="E511" s="752" t="s">
        <v>2013</v>
      </c>
      <c r="F511" s="751">
        <v>60741</v>
      </c>
      <c r="G511" s="752" t="s">
        <v>59</v>
      </c>
      <c r="H511" s="752" t="s">
        <v>1244</v>
      </c>
      <c r="I511" s="752" t="s">
        <v>60</v>
      </c>
      <c r="J511" s="751">
        <v>22</v>
      </c>
      <c r="K511" s="751">
        <v>2</v>
      </c>
      <c r="L511" s="752" t="s">
        <v>54</v>
      </c>
      <c r="M511" s="752" t="s">
        <v>43</v>
      </c>
      <c r="N511" s="752" t="s">
        <v>41</v>
      </c>
      <c r="O511" s="752" t="s">
        <v>41</v>
      </c>
      <c r="P511" s="752" t="s">
        <v>1091</v>
      </c>
      <c r="Q511" s="753">
        <v>1137693</v>
      </c>
      <c r="R511" s="753">
        <v>1137693</v>
      </c>
      <c r="S511" s="753">
        <v>1171824</v>
      </c>
      <c r="T511" s="753">
        <v>1171824</v>
      </c>
      <c r="U511" s="753">
        <v>92746.09</v>
      </c>
      <c r="V511" s="751">
        <v>2019</v>
      </c>
      <c r="W511" s="222" t="s">
        <v>2666</v>
      </c>
      <c r="X511" s="186"/>
      <c r="Y511" s="86" t="str">
        <f t="shared" si="22"/>
        <v/>
      </c>
      <c r="Z511" s="86" t="str">
        <f t="shared" si="23"/>
        <v/>
      </c>
      <c r="AA511" s="44"/>
      <c r="AB511" s="65"/>
    </row>
    <row r="512" spans="1:28" hidden="1">
      <c r="A512" s="751">
        <v>10196</v>
      </c>
      <c r="B512" s="752" t="s">
        <v>35</v>
      </c>
      <c r="C512" s="751" t="s">
        <v>2960</v>
      </c>
      <c r="D512" s="752" t="s">
        <v>810</v>
      </c>
      <c r="E512" s="752" t="s">
        <v>1930</v>
      </c>
      <c r="F512" s="751">
        <v>60023</v>
      </c>
      <c r="G512" s="752" t="s">
        <v>59</v>
      </c>
      <c r="H512" s="752" t="s">
        <v>1244</v>
      </c>
      <c r="I512" s="752" t="s">
        <v>60</v>
      </c>
      <c r="J512" s="751">
        <v>22</v>
      </c>
      <c r="K512" s="751">
        <v>2</v>
      </c>
      <c r="L512" s="752" t="s">
        <v>54</v>
      </c>
      <c r="M512" s="752" t="s">
        <v>37</v>
      </c>
      <c r="N512" s="752" t="s">
        <v>38</v>
      </c>
      <c r="O512" s="752" t="s">
        <v>39</v>
      </c>
      <c r="P512" s="752" t="s">
        <v>1238</v>
      </c>
      <c r="Q512" s="753">
        <v>0</v>
      </c>
      <c r="R512" s="753">
        <v>0</v>
      </c>
      <c r="S512" s="753">
        <v>537899</v>
      </c>
      <c r="T512" s="753">
        <v>537899</v>
      </c>
      <c r="U512" s="753">
        <v>60411</v>
      </c>
      <c r="V512" s="751">
        <v>2019</v>
      </c>
      <c r="W512" s="222"/>
      <c r="X512" s="186"/>
      <c r="Y512" s="86" t="str">
        <f t="shared" si="22"/>
        <v/>
      </c>
      <c r="Z512" s="86" t="str">
        <f t="shared" si="23"/>
        <v/>
      </c>
      <c r="AA512" s="44"/>
      <c r="AB512" s="65"/>
    </row>
    <row r="513" spans="1:28" hidden="1">
      <c r="A513" s="751">
        <v>10197</v>
      </c>
      <c r="B513" s="752" t="s">
        <v>35</v>
      </c>
      <c r="C513" s="751" t="s">
        <v>2960</v>
      </c>
      <c r="D513" s="752" t="s">
        <v>811</v>
      </c>
      <c r="E513" s="752" t="s">
        <v>1930</v>
      </c>
      <c r="F513" s="751">
        <v>60023</v>
      </c>
      <c r="G513" s="752" t="s">
        <v>59</v>
      </c>
      <c r="H513" s="752" t="s">
        <v>1244</v>
      </c>
      <c r="I513" s="752" t="s">
        <v>60</v>
      </c>
      <c r="J513" s="751">
        <v>22</v>
      </c>
      <c r="K513" s="751">
        <v>2</v>
      </c>
      <c r="L513" s="752" t="s">
        <v>54</v>
      </c>
      <c r="M513" s="752" t="s">
        <v>37</v>
      </c>
      <c r="N513" s="752" t="s">
        <v>38</v>
      </c>
      <c r="O513" s="752" t="s">
        <v>39</v>
      </c>
      <c r="P513" s="752" t="s">
        <v>1238</v>
      </c>
      <c r="Q513" s="753">
        <v>0</v>
      </c>
      <c r="R513" s="753">
        <v>0</v>
      </c>
      <c r="S513" s="753">
        <v>131504</v>
      </c>
      <c r="T513" s="753">
        <v>131504</v>
      </c>
      <c r="U513" s="753">
        <v>14769</v>
      </c>
      <c r="V513" s="751">
        <v>2019</v>
      </c>
      <c r="W513" s="222"/>
      <c r="X513" s="186"/>
      <c r="Y513" s="178" t="str">
        <f t="shared" si="22"/>
        <v/>
      </c>
      <c r="Z513" s="178" t="str">
        <f t="shared" si="23"/>
        <v/>
      </c>
      <c r="AA513" s="44"/>
      <c r="AB513" s="65"/>
    </row>
    <row r="514" spans="1:28" ht="25" hidden="1">
      <c r="A514" s="751">
        <v>10214</v>
      </c>
      <c r="B514" s="752" t="s">
        <v>35</v>
      </c>
      <c r="C514" s="751" t="s">
        <v>2960</v>
      </c>
      <c r="D514" s="752" t="s">
        <v>812</v>
      </c>
      <c r="E514" s="752" t="s">
        <v>813</v>
      </c>
      <c r="F514" s="751">
        <v>11270</v>
      </c>
      <c r="G514" s="752" t="s">
        <v>59</v>
      </c>
      <c r="H514" s="752" t="s">
        <v>1244</v>
      </c>
      <c r="I514" s="752" t="s">
        <v>60</v>
      </c>
      <c r="J514" s="751">
        <v>22</v>
      </c>
      <c r="K514" s="751">
        <v>2</v>
      </c>
      <c r="L514" s="752" t="s">
        <v>54</v>
      </c>
      <c r="M514" s="752" t="s">
        <v>37</v>
      </c>
      <c r="N514" s="752" t="s">
        <v>38</v>
      </c>
      <c r="O514" s="752" t="s">
        <v>39</v>
      </c>
      <c r="P514" s="752" t="s">
        <v>1238</v>
      </c>
      <c r="Q514" s="753">
        <v>0</v>
      </c>
      <c r="R514" s="753">
        <v>0</v>
      </c>
      <c r="S514" s="753">
        <v>293993</v>
      </c>
      <c r="T514" s="753">
        <v>293993</v>
      </c>
      <c r="U514" s="753">
        <v>33018</v>
      </c>
      <c r="V514" s="751">
        <v>2019</v>
      </c>
      <c r="W514" s="222"/>
      <c r="X514" s="186"/>
      <c r="Y514" s="178" t="str">
        <f t="shared" si="22"/>
        <v/>
      </c>
      <c r="Z514" s="178" t="str">
        <f t="shared" si="23"/>
        <v/>
      </c>
      <c r="AA514" s="44"/>
      <c r="AB514" s="65"/>
    </row>
    <row r="515" spans="1:28" hidden="1">
      <c r="A515" s="751">
        <v>10218</v>
      </c>
      <c r="B515" s="752" t="s">
        <v>35</v>
      </c>
      <c r="C515" s="751" t="s">
        <v>2960</v>
      </c>
      <c r="D515" s="752" t="s">
        <v>814</v>
      </c>
      <c r="E515" s="752" t="s">
        <v>815</v>
      </c>
      <c r="F515" s="751">
        <v>55754</v>
      </c>
      <c r="G515" s="752" t="s">
        <v>59</v>
      </c>
      <c r="H515" s="752" t="s">
        <v>1244</v>
      </c>
      <c r="I515" s="752" t="s">
        <v>60</v>
      </c>
      <c r="J515" s="751">
        <v>22</v>
      </c>
      <c r="K515" s="751">
        <v>2</v>
      </c>
      <c r="L515" s="752" t="s">
        <v>54</v>
      </c>
      <c r="M515" s="752" t="s">
        <v>37</v>
      </c>
      <c r="N515" s="752" t="s">
        <v>38</v>
      </c>
      <c r="O515" s="752" t="s">
        <v>39</v>
      </c>
      <c r="P515" s="752" t="s">
        <v>1238</v>
      </c>
      <c r="Q515" s="753">
        <v>0</v>
      </c>
      <c r="R515" s="753">
        <v>0</v>
      </c>
      <c r="S515" s="753">
        <v>130149</v>
      </c>
      <c r="T515" s="753">
        <v>130149</v>
      </c>
      <c r="U515" s="753">
        <v>14617</v>
      </c>
      <c r="V515" s="751">
        <v>2019</v>
      </c>
      <c r="W515" s="222"/>
      <c r="X515" s="186"/>
      <c r="Y515" s="178" t="str">
        <f t="shared" si="22"/>
        <v/>
      </c>
      <c r="Z515" s="178" t="str">
        <f t="shared" si="23"/>
        <v/>
      </c>
      <c r="AA515" s="44"/>
      <c r="AB515" s="65"/>
    </row>
    <row r="516" spans="1:28" hidden="1">
      <c r="A516" s="751">
        <v>10219</v>
      </c>
      <c r="B516" s="752" t="s">
        <v>35</v>
      </c>
      <c r="C516" s="751" t="s">
        <v>2960</v>
      </c>
      <c r="D516" s="752" t="s">
        <v>816</v>
      </c>
      <c r="E516" s="752" t="s">
        <v>815</v>
      </c>
      <c r="F516" s="751">
        <v>55754</v>
      </c>
      <c r="G516" s="752" t="s">
        <v>59</v>
      </c>
      <c r="H516" s="752" t="s">
        <v>1244</v>
      </c>
      <c r="I516" s="752" t="s">
        <v>60</v>
      </c>
      <c r="J516" s="751">
        <v>22</v>
      </c>
      <c r="K516" s="751">
        <v>2</v>
      </c>
      <c r="L516" s="752" t="s">
        <v>54</v>
      </c>
      <c r="M516" s="752" t="s">
        <v>37</v>
      </c>
      <c r="N516" s="752" t="s">
        <v>38</v>
      </c>
      <c r="O516" s="752" t="s">
        <v>39</v>
      </c>
      <c r="P516" s="752" t="s">
        <v>1238</v>
      </c>
      <c r="Q516" s="753">
        <v>0</v>
      </c>
      <c r="R516" s="753">
        <v>0</v>
      </c>
      <c r="S516" s="753">
        <v>117612</v>
      </c>
      <c r="T516" s="753">
        <v>117612</v>
      </c>
      <c r="U516" s="753">
        <v>13209</v>
      </c>
      <c r="V516" s="751">
        <v>2019</v>
      </c>
      <c r="W516" s="222"/>
      <c r="X516" s="186"/>
      <c r="Y516" s="86" t="str">
        <f t="shared" si="22"/>
        <v/>
      </c>
      <c r="Z516" s="86" t="str">
        <f t="shared" si="23"/>
        <v/>
      </c>
      <c r="AA516" s="44"/>
      <c r="AB516" s="65"/>
    </row>
    <row r="517" spans="1:28" hidden="1">
      <c r="A517" s="751">
        <v>10220</v>
      </c>
      <c r="B517" s="752" t="s">
        <v>35</v>
      </c>
      <c r="C517" s="751" t="s">
        <v>2960</v>
      </c>
      <c r="D517" s="752" t="s">
        <v>817</v>
      </c>
      <c r="E517" s="752" t="s">
        <v>815</v>
      </c>
      <c r="F517" s="751">
        <v>55754</v>
      </c>
      <c r="G517" s="752" t="s">
        <v>59</v>
      </c>
      <c r="H517" s="752" t="s">
        <v>1244</v>
      </c>
      <c r="I517" s="752" t="s">
        <v>60</v>
      </c>
      <c r="J517" s="751">
        <v>22</v>
      </c>
      <c r="K517" s="751">
        <v>2</v>
      </c>
      <c r="L517" s="752" t="s">
        <v>54</v>
      </c>
      <c r="M517" s="752" t="s">
        <v>37</v>
      </c>
      <c r="N517" s="752" t="s">
        <v>38</v>
      </c>
      <c r="O517" s="752" t="s">
        <v>39</v>
      </c>
      <c r="P517" s="752" t="s">
        <v>1238</v>
      </c>
      <c r="Q517" s="753">
        <v>0</v>
      </c>
      <c r="R517" s="753">
        <v>0</v>
      </c>
      <c r="S517" s="753">
        <v>151563</v>
      </c>
      <c r="T517" s="753">
        <v>151563</v>
      </c>
      <c r="U517" s="753">
        <v>17022</v>
      </c>
      <c r="V517" s="751">
        <v>2019</v>
      </c>
      <c r="W517" s="222"/>
      <c r="X517" s="186"/>
      <c r="Y517" s="86" t="str">
        <f t="shared" si="22"/>
        <v/>
      </c>
      <c r="Z517" s="86" t="str">
        <f t="shared" si="23"/>
        <v/>
      </c>
      <c r="AA517" s="44"/>
      <c r="AB517" s="65"/>
    </row>
    <row r="518" spans="1:28" hidden="1">
      <c r="A518" s="751">
        <v>10221</v>
      </c>
      <c r="B518" s="752" t="s">
        <v>35</v>
      </c>
      <c r="C518" s="751" t="s">
        <v>2960</v>
      </c>
      <c r="D518" s="752" t="s">
        <v>818</v>
      </c>
      <c r="E518" s="752" t="s">
        <v>815</v>
      </c>
      <c r="F518" s="751">
        <v>55754</v>
      </c>
      <c r="G518" s="752" t="s">
        <v>59</v>
      </c>
      <c r="H518" s="752" t="s">
        <v>1244</v>
      </c>
      <c r="I518" s="752" t="s">
        <v>60</v>
      </c>
      <c r="J518" s="751">
        <v>22</v>
      </c>
      <c r="K518" s="751">
        <v>2</v>
      </c>
      <c r="L518" s="752" t="s">
        <v>54</v>
      </c>
      <c r="M518" s="752" t="s">
        <v>37</v>
      </c>
      <c r="N518" s="752" t="s">
        <v>38</v>
      </c>
      <c r="O518" s="752" t="s">
        <v>39</v>
      </c>
      <c r="P518" s="752" t="s">
        <v>1238</v>
      </c>
      <c r="Q518" s="753">
        <v>0</v>
      </c>
      <c r="R518" s="753">
        <v>0</v>
      </c>
      <c r="S518" s="753">
        <v>472020</v>
      </c>
      <c r="T518" s="753">
        <v>472020</v>
      </c>
      <c r="U518" s="753">
        <v>53012</v>
      </c>
      <c r="V518" s="751">
        <v>2019</v>
      </c>
      <c r="W518" s="222"/>
      <c r="X518" s="186"/>
      <c r="Y518" s="178" t="str">
        <f t="shared" si="22"/>
        <v/>
      </c>
      <c r="Z518" s="178" t="str">
        <f t="shared" si="23"/>
        <v/>
      </c>
      <c r="AA518" s="44"/>
      <c r="AB518" s="65"/>
    </row>
    <row r="519" spans="1:28" hidden="1">
      <c r="A519" s="751">
        <v>10237</v>
      </c>
      <c r="B519" s="752" t="s">
        <v>35</v>
      </c>
      <c r="C519" s="751" t="s">
        <v>2960</v>
      </c>
      <c r="D519" s="752" t="s">
        <v>819</v>
      </c>
      <c r="E519" s="752" t="s">
        <v>1930</v>
      </c>
      <c r="F519" s="751">
        <v>60023</v>
      </c>
      <c r="G519" s="752" t="s">
        <v>59</v>
      </c>
      <c r="H519" s="752" t="s">
        <v>1244</v>
      </c>
      <c r="I519" s="752" t="s">
        <v>60</v>
      </c>
      <c r="J519" s="751">
        <v>22</v>
      </c>
      <c r="K519" s="751">
        <v>2</v>
      </c>
      <c r="L519" s="752" t="s">
        <v>54</v>
      </c>
      <c r="M519" s="752" t="s">
        <v>37</v>
      </c>
      <c r="N519" s="752" t="s">
        <v>38</v>
      </c>
      <c r="O519" s="752" t="s">
        <v>39</v>
      </c>
      <c r="P519" s="752" t="s">
        <v>1238</v>
      </c>
      <c r="Q519" s="753">
        <v>0</v>
      </c>
      <c r="R519" s="753">
        <v>0</v>
      </c>
      <c r="S519" s="753">
        <v>70946</v>
      </c>
      <c r="T519" s="753">
        <v>70946</v>
      </c>
      <c r="U519" s="753">
        <v>7968</v>
      </c>
      <c r="V519" s="751">
        <v>2019</v>
      </c>
      <c r="W519" s="222"/>
      <c r="X519" s="186"/>
      <c r="Y519" s="178" t="str">
        <f t="shared" ref="Y519:Y582" si="25">IF(AND($M519=$Y$2,$N519=$Y$3,NOT($Q519=$R519),NOT($U519=0)),IF($K519=5,$S519/($U519+(8/5)*$U519),IF($K519=7,$S519/($U519+(29/25)*$U519),"")),"")</f>
        <v/>
      </c>
      <c r="Z519" s="178" t="str">
        <f t="shared" ref="Z519:Z582" si="26">IF(AND($M519=$Y$2,$N519=$Y$4,NOT($Q519=$R519),NOT($U519=0)),IF($K519=5,$S519/($U519+(8/5)*$U519),IF($K519=7,$S519/($U519+(29/25)*$U519),"")),"")</f>
        <v/>
      </c>
      <c r="AA519" s="44"/>
      <c r="AB519" s="65"/>
    </row>
    <row r="520" spans="1:28" hidden="1">
      <c r="A520" s="751">
        <v>10238</v>
      </c>
      <c r="B520" s="752" t="s">
        <v>35</v>
      </c>
      <c r="C520" s="751" t="s">
        <v>2960</v>
      </c>
      <c r="D520" s="752" t="s">
        <v>820</v>
      </c>
      <c r="E520" s="752" t="s">
        <v>1930</v>
      </c>
      <c r="F520" s="751">
        <v>60023</v>
      </c>
      <c r="G520" s="752" t="s">
        <v>59</v>
      </c>
      <c r="H520" s="752" t="s">
        <v>1244</v>
      </c>
      <c r="I520" s="752" t="s">
        <v>60</v>
      </c>
      <c r="J520" s="751">
        <v>22</v>
      </c>
      <c r="K520" s="751">
        <v>2</v>
      </c>
      <c r="L520" s="752" t="s">
        <v>54</v>
      </c>
      <c r="M520" s="752" t="s">
        <v>37</v>
      </c>
      <c r="N520" s="752" t="s">
        <v>38</v>
      </c>
      <c r="O520" s="752" t="s">
        <v>39</v>
      </c>
      <c r="P520" s="752" t="s">
        <v>1238</v>
      </c>
      <c r="Q520" s="753">
        <v>0</v>
      </c>
      <c r="R520" s="753">
        <v>0</v>
      </c>
      <c r="S520" s="753">
        <v>4256</v>
      </c>
      <c r="T520" s="753">
        <v>4256</v>
      </c>
      <c r="U520" s="753">
        <v>478</v>
      </c>
      <c r="V520" s="751">
        <v>2019</v>
      </c>
      <c r="W520" s="222"/>
      <c r="X520" s="186"/>
      <c r="Y520" s="178" t="str">
        <f t="shared" si="25"/>
        <v/>
      </c>
      <c r="Z520" s="178" t="str">
        <f t="shared" si="26"/>
        <v/>
      </c>
      <c r="AA520" s="44"/>
      <c r="AB520" s="65"/>
    </row>
    <row r="521" spans="1:28" hidden="1">
      <c r="A521" s="751">
        <v>10255</v>
      </c>
      <c r="B521" s="752" t="s">
        <v>35</v>
      </c>
      <c r="C521" s="751" t="s">
        <v>2960</v>
      </c>
      <c r="D521" s="752" t="s">
        <v>1931</v>
      </c>
      <c r="E521" s="752" t="s">
        <v>1637</v>
      </c>
      <c r="F521" s="751">
        <v>59178</v>
      </c>
      <c r="G521" s="752" t="s">
        <v>92</v>
      </c>
      <c r="H521" s="752" t="s">
        <v>1245</v>
      </c>
      <c r="I521" s="752" t="s">
        <v>60</v>
      </c>
      <c r="J521" s="751">
        <v>22</v>
      </c>
      <c r="K521" s="751">
        <v>2</v>
      </c>
      <c r="L521" s="752" t="s">
        <v>54</v>
      </c>
      <c r="M521" s="752" t="s">
        <v>37</v>
      </c>
      <c r="N521" s="752" t="s">
        <v>38</v>
      </c>
      <c r="O521" s="752" t="s">
        <v>39</v>
      </c>
      <c r="P521" s="752" t="s">
        <v>1238</v>
      </c>
      <c r="Q521" s="753">
        <v>0</v>
      </c>
      <c r="R521" s="753">
        <v>0</v>
      </c>
      <c r="S521" s="753">
        <v>758898</v>
      </c>
      <c r="T521" s="753">
        <v>758898</v>
      </c>
      <c r="U521" s="753">
        <v>85231</v>
      </c>
      <c r="V521" s="751">
        <v>2019</v>
      </c>
      <c r="W521" s="222"/>
      <c r="X521" s="186"/>
      <c r="Y521" s="86" t="str">
        <f t="shared" si="25"/>
        <v/>
      </c>
      <c r="Z521" s="86" t="str">
        <f t="shared" si="26"/>
        <v/>
      </c>
      <c r="AA521" s="44"/>
      <c r="AB521" s="65"/>
    </row>
    <row r="522" spans="1:28" hidden="1">
      <c r="A522" s="751">
        <v>10276</v>
      </c>
      <c r="B522" s="752" t="s">
        <v>35</v>
      </c>
      <c r="C522" s="751" t="s">
        <v>2960</v>
      </c>
      <c r="D522" s="752" t="s">
        <v>1765</v>
      </c>
      <c r="E522" s="752" t="s">
        <v>1159</v>
      </c>
      <c r="F522" s="751">
        <v>57280</v>
      </c>
      <c r="G522" s="752" t="s">
        <v>98</v>
      </c>
      <c r="H522" s="752" t="s">
        <v>1245</v>
      </c>
      <c r="I522" s="752" t="s">
        <v>60</v>
      </c>
      <c r="J522" s="751">
        <v>22</v>
      </c>
      <c r="K522" s="751">
        <v>2</v>
      </c>
      <c r="L522" s="752" t="s">
        <v>54</v>
      </c>
      <c r="M522" s="752" t="s">
        <v>37</v>
      </c>
      <c r="N522" s="752" t="s">
        <v>38</v>
      </c>
      <c r="O522" s="752" t="s">
        <v>39</v>
      </c>
      <c r="P522" s="752" t="s">
        <v>1238</v>
      </c>
      <c r="Q522" s="753">
        <v>0</v>
      </c>
      <c r="R522" s="753">
        <v>0</v>
      </c>
      <c r="S522" s="753">
        <v>95494</v>
      </c>
      <c r="T522" s="753">
        <v>95494</v>
      </c>
      <c r="U522" s="753">
        <v>10725</v>
      </c>
      <c r="V522" s="751">
        <v>2019</v>
      </c>
      <c r="W522" s="222"/>
      <c r="X522" s="186"/>
      <c r="Y522" s="86" t="str">
        <f t="shared" si="25"/>
        <v/>
      </c>
      <c r="Z522" s="86" t="str">
        <f t="shared" si="26"/>
        <v/>
      </c>
      <c r="AA522" s="44"/>
      <c r="AB522" s="65"/>
    </row>
    <row r="523" spans="1:28" ht="25" hidden="1">
      <c r="A523" s="751">
        <v>10286</v>
      </c>
      <c r="B523" s="752" t="s">
        <v>35</v>
      </c>
      <c r="C523" s="751" t="s">
        <v>2960</v>
      </c>
      <c r="D523" s="752" t="s">
        <v>821</v>
      </c>
      <c r="E523" s="752" t="s">
        <v>821</v>
      </c>
      <c r="F523" s="751">
        <v>4386</v>
      </c>
      <c r="G523" s="752" t="s">
        <v>59</v>
      </c>
      <c r="H523" s="752" t="s">
        <v>1244</v>
      </c>
      <c r="I523" s="752" t="s">
        <v>60</v>
      </c>
      <c r="J523" s="751">
        <v>611</v>
      </c>
      <c r="K523" s="751">
        <v>4</v>
      </c>
      <c r="L523" s="752" t="s">
        <v>422</v>
      </c>
      <c r="M523" s="752" t="s">
        <v>37</v>
      </c>
      <c r="N523" s="752" t="s">
        <v>38</v>
      </c>
      <c r="O523" s="752" t="s">
        <v>39</v>
      </c>
      <c r="P523" s="752" t="s">
        <v>1238</v>
      </c>
      <c r="Q523" s="753">
        <v>0</v>
      </c>
      <c r="R523" s="753">
        <v>0</v>
      </c>
      <c r="S523" s="753">
        <v>57663</v>
      </c>
      <c r="T523" s="753">
        <v>57663</v>
      </c>
      <c r="U523" s="753">
        <v>6476</v>
      </c>
      <c r="V523" s="751">
        <v>2019</v>
      </c>
      <c r="W523" s="222"/>
      <c r="X523" s="186"/>
      <c r="Y523" s="86" t="str">
        <f t="shared" si="25"/>
        <v/>
      </c>
      <c r="Z523" s="86" t="str">
        <f t="shared" si="26"/>
        <v/>
      </c>
      <c r="AA523" s="44"/>
      <c r="AB523" s="65"/>
    </row>
    <row r="524" spans="1:28" hidden="1">
      <c r="A524" s="751">
        <v>10290</v>
      </c>
      <c r="B524" s="752" t="s">
        <v>35</v>
      </c>
      <c r="C524" s="751" t="s">
        <v>2960</v>
      </c>
      <c r="D524" s="752" t="s">
        <v>822</v>
      </c>
      <c r="E524" s="752" t="s">
        <v>823</v>
      </c>
      <c r="F524" s="751">
        <v>2226</v>
      </c>
      <c r="G524" s="752" t="s">
        <v>98</v>
      </c>
      <c r="H524" s="752" t="s">
        <v>1245</v>
      </c>
      <c r="I524" s="752" t="s">
        <v>60</v>
      </c>
      <c r="J524" s="751">
        <v>22</v>
      </c>
      <c r="K524" s="751">
        <v>2</v>
      </c>
      <c r="L524" s="752" t="s">
        <v>54</v>
      </c>
      <c r="M524" s="752" t="s">
        <v>44</v>
      </c>
      <c r="N524" s="752" t="s">
        <v>48</v>
      </c>
      <c r="O524" s="752" t="s">
        <v>48</v>
      </c>
      <c r="P524" s="752" t="s">
        <v>49</v>
      </c>
      <c r="Q524" s="753">
        <v>227</v>
      </c>
      <c r="R524" s="753">
        <v>227</v>
      </c>
      <c r="S524" s="753">
        <v>1335</v>
      </c>
      <c r="T524" s="753">
        <v>1335</v>
      </c>
      <c r="U524" s="753">
        <v>84.46</v>
      </c>
      <c r="V524" s="751">
        <v>2019</v>
      </c>
      <c r="W524" s="222"/>
      <c r="X524" s="186"/>
      <c r="Y524" s="86" t="str">
        <f t="shared" si="25"/>
        <v/>
      </c>
      <c r="Z524" s="86" t="str">
        <f t="shared" si="26"/>
        <v/>
      </c>
      <c r="AA524" s="44"/>
      <c r="AB524" s="65"/>
    </row>
    <row r="525" spans="1:28" ht="25" hidden="1">
      <c r="A525" s="751">
        <v>10290</v>
      </c>
      <c r="B525" s="752" t="s">
        <v>35</v>
      </c>
      <c r="C525" s="751" t="s">
        <v>2960</v>
      </c>
      <c r="D525" s="752" t="s">
        <v>822</v>
      </c>
      <c r="E525" s="752" t="s">
        <v>823</v>
      </c>
      <c r="F525" s="751">
        <v>2226</v>
      </c>
      <c r="G525" s="752" t="s">
        <v>98</v>
      </c>
      <c r="H525" s="752" t="s">
        <v>1245</v>
      </c>
      <c r="I525" s="752" t="s">
        <v>60</v>
      </c>
      <c r="J525" s="751">
        <v>22</v>
      </c>
      <c r="K525" s="751">
        <v>2</v>
      </c>
      <c r="L525" s="752" t="s">
        <v>54</v>
      </c>
      <c r="M525" s="752" t="s">
        <v>44</v>
      </c>
      <c r="N525" s="752" t="s">
        <v>71</v>
      </c>
      <c r="O525" s="752" t="s">
        <v>72</v>
      </c>
      <c r="P525" s="752" t="s">
        <v>47</v>
      </c>
      <c r="Q525" s="753">
        <v>153593</v>
      </c>
      <c r="R525" s="753">
        <v>153593</v>
      </c>
      <c r="S525" s="753">
        <v>1305543</v>
      </c>
      <c r="T525" s="753">
        <v>1305543</v>
      </c>
      <c r="U525" s="753">
        <v>81561.539999999994</v>
      </c>
      <c r="V525" s="751">
        <v>2019</v>
      </c>
      <c r="W525" s="222"/>
      <c r="X525" s="186">
        <f t="shared" ref="X525:X542" si="27">IF(OR(K525&gt;3,T525=0,NOT(U525&gt;0)),"",T525/U525)</f>
        <v>16.00684587368017</v>
      </c>
      <c r="Y525" s="178" t="str">
        <f t="shared" si="25"/>
        <v/>
      </c>
      <c r="Z525" s="178" t="str">
        <f t="shared" si="26"/>
        <v/>
      </c>
      <c r="AA525" s="44"/>
      <c r="AB525" s="65"/>
    </row>
    <row r="526" spans="1:28" ht="25" hidden="1">
      <c r="A526" s="751">
        <v>10305</v>
      </c>
      <c r="B526" s="752" t="s">
        <v>56</v>
      </c>
      <c r="C526" s="751" t="s">
        <v>2960</v>
      </c>
      <c r="D526" s="752" t="s">
        <v>1105</v>
      </c>
      <c r="E526" s="752" t="s">
        <v>1165</v>
      </c>
      <c r="F526" s="751">
        <v>12834</v>
      </c>
      <c r="G526" s="752" t="s">
        <v>59</v>
      </c>
      <c r="H526" s="752" t="s">
        <v>1244</v>
      </c>
      <c r="I526" s="752" t="s">
        <v>60</v>
      </c>
      <c r="J526" s="751">
        <v>562213</v>
      </c>
      <c r="K526" s="751">
        <v>5</v>
      </c>
      <c r="L526" s="752" t="s">
        <v>423</v>
      </c>
      <c r="M526" s="752" t="s">
        <v>44</v>
      </c>
      <c r="N526" s="752" t="s">
        <v>48</v>
      </c>
      <c r="O526" s="752" t="s">
        <v>48</v>
      </c>
      <c r="P526" s="752" t="s">
        <v>49</v>
      </c>
      <c r="Q526" s="753">
        <v>0</v>
      </c>
      <c r="R526" s="753">
        <v>0</v>
      </c>
      <c r="S526" s="753">
        <v>0</v>
      </c>
      <c r="T526" s="753">
        <v>0</v>
      </c>
      <c r="U526" s="753">
        <v>0</v>
      </c>
      <c r="V526" s="751">
        <v>2019</v>
      </c>
      <c r="W526" s="222"/>
      <c r="X526" s="186" t="str">
        <f t="shared" si="27"/>
        <v/>
      </c>
      <c r="Y526" s="178" t="str">
        <f t="shared" si="25"/>
        <v/>
      </c>
      <c r="Z526" s="178" t="str">
        <f t="shared" si="26"/>
        <v/>
      </c>
      <c r="AA526" s="44"/>
      <c r="AB526" s="65"/>
    </row>
    <row r="527" spans="1:28" ht="25" hidden="1">
      <c r="A527" s="751">
        <v>10305</v>
      </c>
      <c r="B527" s="752" t="s">
        <v>56</v>
      </c>
      <c r="C527" s="751" t="s">
        <v>2960</v>
      </c>
      <c r="D527" s="752" t="s">
        <v>1105</v>
      </c>
      <c r="E527" s="752" t="s">
        <v>1165</v>
      </c>
      <c r="F527" s="751">
        <v>12834</v>
      </c>
      <c r="G527" s="752" t="s">
        <v>59</v>
      </c>
      <c r="H527" s="752" t="s">
        <v>1244</v>
      </c>
      <c r="I527" s="752" t="s">
        <v>60</v>
      </c>
      <c r="J527" s="751">
        <v>562213</v>
      </c>
      <c r="K527" s="751">
        <v>5</v>
      </c>
      <c r="L527" s="752" t="s">
        <v>423</v>
      </c>
      <c r="M527" s="752" t="s">
        <v>44</v>
      </c>
      <c r="N527" s="752" t="s">
        <v>18</v>
      </c>
      <c r="O527" s="752" t="s">
        <v>66</v>
      </c>
      <c r="P527" s="752" t="s">
        <v>47</v>
      </c>
      <c r="Q527" s="753">
        <v>92125</v>
      </c>
      <c r="R527" s="753">
        <v>92078</v>
      </c>
      <c r="S527" s="753">
        <v>611615</v>
      </c>
      <c r="T527" s="753">
        <v>611305</v>
      </c>
      <c r="U527" s="753">
        <v>18819.405999999999</v>
      </c>
      <c r="V527" s="751">
        <v>2019</v>
      </c>
      <c r="W527" s="222"/>
      <c r="X527" s="186" t="str">
        <f t="shared" si="27"/>
        <v/>
      </c>
      <c r="Y527" s="178" t="str">
        <f t="shared" si="25"/>
        <v/>
      </c>
      <c r="Z527" s="178" t="str">
        <f t="shared" si="26"/>
        <v/>
      </c>
      <c r="AA527" s="44"/>
      <c r="AB527" s="65"/>
    </row>
    <row r="528" spans="1:28" ht="25" hidden="1">
      <c r="A528" s="751">
        <v>10305</v>
      </c>
      <c r="B528" s="752" t="s">
        <v>56</v>
      </c>
      <c r="C528" s="751" t="s">
        <v>2960</v>
      </c>
      <c r="D528" s="752" t="s">
        <v>1105</v>
      </c>
      <c r="E528" s="752" t="s">
        <v>1165</v>
      </c>
      <c r="F528" s="751">
        <v>12834</v>
      </c>
      <c r="G528" s="752" t="s">
        <v>59</v>
      </c>
      <c r="H528" s="752" t="s">
        <v>1244</v>
      </c>
      <c r="I528" s="752" t="s">
        <v>60</v>
      </c>
      <c r="J528" s="751">
        <v>562213</v>
      </c>
      <c r="K528" s="751">
        <v>5</v>
      </c>
      <c r="L528" s="752" t="s">
        <v>423</v>
      </c>
      <c r="M528" s="752" t="s">
        <v>44</v>
      </c>
      <c r="N528" s="752" t="s">
        <v>19</v>
      </c>
      <c r="O528" s="752" t="s">
        <v>84</v>
      </c>
      <c r="P528" s="752" t="s">
        <v>47</v>
      </c>
      <c r="Q528" s="753">
        <v>58900</v>
      </c>
      <c r="R528" s="753">
        <v>58870</v>
      </c>
      <c r="S528" s="753">
        <v>747560</v>
      </c>
      <c r="T528" s="753">
        <v>747179</v>
      </c>
      <c r="U528" s="753">
        <v>23002.292000000001</v>
      </c>
      <c r="V528" s="751">
        <v>2019</v>
      </c>
      <c r="W528" s="222"/>
      <c r="X528" s="186" t="str">
        <f t="shared" si="27"/>
        <v/>
      </c>
      <c r="Y528" s="178" t="str">
        <f t="shared" si="25"/>
        <v/>
      </c>
      <c r="Z528" s="178" t="str">
        <f t="shared" si="26"/>
        <v/>
      </c>
      <c r="AA528" s="44"/>
      <c r="AB528" s="65"/>
    </row>
    <row r="529" spans="1:28" ht="25" hidden="1">
      <c r="A529" s="751">
        <v>10305</v>
      </c>
      <c r="B529" s="752" t="s">
        <v>56</v>
      </c>
      <c r="C529" s="751" t="s">
        <v>2960</v>
      </c>
      <c r="D529" s="752" t="s">
        <v>1105</v>
      </c>
      <c r="E529" s="752" t="s">
        <v>1165</v>
      </c>
      <c r="F529" s="751">
        <v>12834</v>
      </c>
      <c r="G529" s="752" t="s">
        <v>59</v>
      </c>
      <c r="H529" s="752" t="s">
        <v>1244</v>
      </c>
      <c r="I529" s="752" t="s">
        <v>60</v>
      </c>
      <c r="J529" s="751">
        <v>562213</v>
      </c>
      <c r="K529" s="751">
        <v>5</v>
      </c>
      <c r="L529" s="752" t="s">
        <v>423</v>
      </c>
      <c r="M529" s="752" t="s">
        <v>44</v>
      </c>
      <c r="N529" s="752" t="s">
        <v>41</v>
      </c>
      <c r="O529" s="752" t="s">
        <v>41</v>
      </c>
      <c r="P529" s="752" t="s">
        <v>1091</v>
      </c>
      <c r="Q529" s="753">
        <v>15512</v>
      </c>
      <c r="R529" s="753">
        <v>15503</v>
      </c>
      <c r="S529" s="753">
        <v>15512</v>
      </c>
      <c r="T529" s="753">
        <v>15503</v>
      </c>
      <c r="U529" s="753">
        <v>477.30200000000002</v>
      </c>
      <c r="V529" s="751">
        <v>2019</v>
      </c>
      <c r="W529" s="222"/>
      <c r="X529" s="186" t="str">
        <f t="shared" si="27"/>
        <v/>
      </c>
      <c r="Y529" s="178" t="str">
        <f t="shared" si="25"/>
        <v/>
      </c>
      <c r="Z529" s="178" t="str">
        <f t="shared" si="26"/>
        <v/>
      </c>
      <c r="AA529" s="44"/>
      <c r="AB529" s="65"/>
    </row>
    <row r="530" spans="1:28" hidden="1">
      <c r="A530" s="751">
        <v>10307</v>
      </c>
      <c r="B530" s="752" t="s">
        <v>35</v>
      </c>
      <c r="C530" s="751" t="s">
        <v>2960</v>
      </c>
      <c r="D530" s="752" t="s">
        <v>161</v>
      </c>
      <c r="E530" s="752" t="s">
        <v>162</v>
      </c>
      <c r="F530" s="751">
        <v>21970</v>
      </c>
      <c r="G530" s="752" t="s">
        <v>83</v>
      </c>
      <c r="H530" s="752" t="s">
        <v>1245</v>
      </c>
      <c r="I530" s="752" t="s">
        <v>60</v>
      </c>
      <c r="J530" s="751">
        <v>22</v>
      </c>
      <c r="K530" s="751">
        <v>2</v>
      </c>
      <c r="L530" s="752" t="s">
        <v>54</v>
      </c>
      <c r="M530" s="752" t="s">
        <v>40</v>
      </c>
      <c r="N530" s="752" t="s">
        <v>48</v>
      </c>
      <c r="O530" s="752" t="s">
        <v>48</v>
      </c>
      <c r="P530" s="752" t="s">
        <v>49</v>
      </c>
      <c r="Q530" s="753">
        <v>0</v>
      </c>
      <c r="R530" s="753">
        <v>0</v>
      </c>
      <c r="S530" s="753">
        <v>0</v>
      </c>
      <c r="T530" s="753">
        <v>0</v>
      </c>
      <c r="U530" s="753">
        <v>161.876</v>
      </c>
      <c r="V530" s="751">
        <v>2019</v>
      </c>
      <c r="W530" s="222" t="s">
        <v>2666</v>
      </c>
      <c r="X530" s="186" t="str">
        <f t="shared" si="27"/>
        <v/>
      </c>
      <c r="Y530" s="178" t="str">
        <f t="shared" si="25"/>
        <v/>
      </c>
      <c r="Z530" s="178" t="str">
        <f t="shared" si="26"/>
        <v/>
      </c>
      <c r="AA530" s="44"/>
      <c r="AB530" s="65"/>
    </row>
    <row r="531" spans="1:28" hidden="1">
      <c r="A531" s="751">
        <v>10307</v>
      </c>
      <c r="B531" s="752" t="s">
        <v>35</v>
      </c>
      <c r="C531" s="751" t="s">
        <v>2960</v>
      </c>
      <c r="D531" s="752" t="s">
        <v>161</v>
      </c>
      <c r="E531" s="752" t="s">
        <v>162</v>
      </c>
      <c r="F531" s="751">
        <v>21970</v>
      </c>
      <c r="G531" s="752" t="s">
        <v>83</v>
      </c>
      <c r="H531" s="752" t="s">
        <v>1245</v>
      </c>
      <c r="I531" s="752" t="s">
        <v>60</v>
      </c>
      <c r="J531" s="751">
        <v>22</v>
      </c>
      <c r="K531" s="751">
        <v>2</v>
      </c>
      <c r="L531" s="752" t="s">
        <v>54</v>
      </c>
      <c r="M531" s="752" t="s">
        <v>40</v>
      </c>
      <c r="N531" s="752" t="s">
        <v>41</v>
      </c>
      <c r="O531" s="752" t="s">
        <v>41</v>
      </c>
      <c r="P531" s="752" t="s">
        <v>1091</v>
      </c>
      <c r="Q531" s="753">
        <v>0</v>
      </c>
      <c r="R531" s="753">
        <v>0</v>
      </c>
      <c r="S531" s="753">
        <v>0</v>
      </c>
      <c r="T531" s="753">
        <v>0</v>
      </c>
      <c r="U531" s="753">
        <v>13519.124</v>
      </c>
      <c r="V531" s="751">
        <v>2019</v>
      </c>
      <c r="W531" s="222" t="s">
        <v>2666</v>
      </c>
      <c r="X531" s="186" t="str">
        <f t="shared" si="27"/>
        <v/>
      </c>
      <c r="Y531" s="178" t="str">
        <f t="shared" si="25"/>
        <v/>
      </c>
      <c r="Z531" s="178" t="str">
        <f t="shared" si="26"/>
        <v/>
      </c>
      <c r="AA531" s="44"/>
      <c r="AB531" s="65"/>
    </row>
    <row r="532" spans="1:28" hidden="1">
      <c r="A532" s="751">
        <v>10307</v>
      </c>
      <c r="B532" s="752" t="s">
        <v>35</v>
      </c>
      <c r="C532" s="751" t="s">
        <v>2960</v>
      </c>
      <c r="D532" s="752" t="s">
        <v>161</v>
      </c>
      <c r="E532" s="752" t="s">
        <v>162</v>
      </c>
      <c r="F532" s="751">
        <v>21970</v>
      </c>
      <c r="G532" s="752" t="s">
        <v>83</v>
      </c>
      <c r="H532" s="752" t="s">
        <v>1245</v>
      </c>
      <c r="I532" s="752" t="s">
        <v>60</v>
      </c>
      <c r="J532" s="751">
        <v>22</v>
      </c>
      <c r="K532" s="751">
        <v>2</v>
      </c>
      <c r="L532" s="752" t="s">
        <v>54</v>
      </c>
      <c r="M532" s="752" t="s">
        <v>43</v>
      </c>
      <c r="N532" s="752" t="s">
        <v>48</v>
      </c>
      <c r="O532" s="752" t="s">
        <v>48</v>
      </c>
      <c r="P532" s="752" t="s">
        <v>49</v>
      </c>
      <c r="Q532" s="753">
        <v>1002</v>
      </c>
      <c r="R532" s="753">
        <v>1002</v>
      </c>
      <c r="S532" s="753">
        <v>5771</v>
      </c>
      <c r="T532" s="753">
        <v>5771</v>
      </c>
      <c r="U532" s="753">
        <v>469.65</v>
      </c>
      <c r="V532" s="751">
        <v>2019</v>
      </c>
      <c r="W532" s="222" t="s">
        <v>2666</v>
      </c>
      <c r="X532" s="186">
        <f t="shared" si="27"/>
        <v>12.287873948685192</v>
      </c>
      <c r="Y532" s="178" t="str">
        <f t="shared" si="25"/>
        <v/>
      </c>
      <c r="Z532" s="178" t="str">
        <f t="shared" si="26"/>
        <v/>
      </c>
      <c r="AA532" s="44"/>
      <c r="AB532" s="65"/>
    </row>
    <row r="533" spans="1:28" hidden="1">
      <c r="A533" s="751">
        <v>10307</v>
      </c>
      <c r="B533" s="752" t="s">
        <v>35</v>
      </c>
      <c r="C533" s="751" t="s">
        <v>2960</v>
      </c>
      <c r="D533" s="752" t="s">
        <v>161</v>
      </c>
      <c r="E533" s="752" t="s">
        <v>162</v>
      </c>
      <c r="F533" s="751">
        <v>21970</v>
      </c>
      <c r="G533" s="752" t="s">
        <v>83</v>
      </c>
      <c r="H533" s="752" t="s">
        <v>1245</v>
      </c>
      <c r="I533" s="752" t="s">
        <v>60</v>
      </c>
      <c r="J533" s="751">
        <v>22</v>
      </c>
      <c r="K533" s="751">
        <v>2</v>
      </c>
      <c r="L533" s="752" t="s">
        <v>54</v>
      </c>
      <c r="M533" s="752" t="s">
        <v>43</v>
      </c>
      <c r="N533" s="752" t="s">
        <v>41</v>
      </c>
      <c r="O533" s="752" t="s">
        <v>41</v>
      </c>
      <c r="P533" s="752" t="s">
        <v>1091</v>
      </c>
      <c r="Q533" s="753">
        <v>460357</v>
      </c>
      <c r="R533" s="753">
        <v>460357</v>
      </c>
      <c r="S533" s="753">
        <v>464961</v>
      </c>
      <c r="T533" s="753">
        <v>464961</v>
      </c>
      <c r="U533" s="753">
        <v>38533.35</v>
      </c>
      <c r="V533" s="751">
        <v>2019</v>
      </c>
      <c r="W533" s="222" t="s">
        <v>2666</v>
      </c>
      <c r="X533" s="186">
        <f t="shared" si="27"/>
        <v>12.066456718660589</v>
      </c>
      <c r="Y533" s="178" t="str">
        <f t="shared" si="25"/>
        <v/>
      </c>
      <c r="Z533" s="178" t="str">
        <f t="shared" si="26"/>
        <v/>
      </c>
      <c r="AA533" s="44"/>
      <c r="AB533" s="65"/>
    </row>
    <row r="534" spans="1:28" ht="25" hidden="1">
      <c r="A534" s="751">
        <v>10354</v>
      </c>
      <c r="B534" s="752" t="s">
        <v>35</v>
      </c>
      <c r="C534" s="751" t="s">
        <v>2960</v>
      </c>
      <c r="D534" s="752" t="s">
        <v>1166</v>
      </c>
      <c r="E534" s="752" t="s">
        <v>1166</v>
      </c>
      <c r="F534" s="751">
        <v>57432</v>
      </c>
      <c r="G534" s="752" t="s">
        <v>92</v>
      </c>
      <c r="H534" s="752" t="s">
        <v>1245</v>
      </c>
      <c r="I534" s="752" t="s">
        <v>60</v>
      </c>
      <c r="J534" s="751">
        <v>22</v>
      </c>
      <c r="K534" s="751">
        <v>2</v>
      </c>
      <c r="L534" s="752" t="s">
        <v>54</v>
      </c>
      <c r="M534" s="752" t="s">
        <v>44</v>
      </c>
      <c r="N534" s="752" t="s">
        <v>71</v>
      </c>
      <c r="O534" s="752" t="s">
        <v>72</v>
      </c>
      <c r="P534" s="752" t="s">
        <v>47</v>
      </c>
      <c r="Q534" s="753">
        <v>371909</v>
      </c>
      <c r="R534" s="753">
        <v>371909</v>
      </c>
      <c r="S534" s="753">
        <v>3347181</v>
      </c>
      <c r="T534" s="753">
        <v>3347181</v>
      </c>
      <c r="U534" s="753">
        <v>222953</v>
      </c>
      <c r="V534" s="751">
        <v>2019</v>
      </c>
      <c r="W534" s="222"/>
      <c r="X534" s="186">
        <f t="shared" si="27"/>
        <v>15.012944432234596</v>
      </c>
      <c r="Y534" s="178" t="str">
        <f t="shared" si="25"/>
        <v/>
      </c>
      <c r="Z534" s="178" t="str">
        <f t="shared" si="26"/>
        <v/>
      </c>
      <c r="AA534" s="44"/>
      <c r="AB534" s="65"/>
    </row>
    <row r="535" spans="1:28" hidden="1">
      <c r="A535" s="751">
        <v>10356</v>
      </c>
      <c r="B535" s="752" t="s">
        <v>35</v>
      </c>
      <c r="C535" s="751" t="s">
        <v>2960</v>
      </c>
      <c r="D535" s="752" t="s">
        <v>1766</v>
      </c>
      <c r="E535" s="752" t="s">
        <v>1767</v>
      </c>
      <c r="F535" s="751">
        <v>1981</v>
      </c>
      <c r="G535" s="752" t="s">
        <v>92</v>
      </c>
      <c r="H535" s="752" t="s">
        <v>1245</v>
      </c>
      <c r="I535" s="752" t="s">
        <v>60</v>
      </c>
      <c r="J535" s="751">
        <v>22</v>
      </c>
      <c r="K535" s="751">
        <v>2</v>
      </c>
      <c r="L535" s="752" t="s">
        <v>54</v>
      </c>
      <c r="M535" s="752" t="s">
        <v>44</v>
      </c>
      <c r="N535" s="752" t="s">
        <v>48</v>
      </c>
      <c r="O535" s="752" t="s">
        <v>48</v>
      </c>
      <c r="P535" s="752" t="s">
        <v>49</v>
      </c>
      <c r="Q535" s="753">
        <v>0</v>
      </c>
      <c r="R535" s="753">
        <v>0</v>
      </c>
      <c r="S535" s="753">
        <v>0</v>
      </c>
      <c r="T535" s="753">
        <v>0</v>
      </c>
      <c r="U535" s="753">
        <v>0</v>
      </c>
      <c r="V535" s="751">
        <v>2019</v>
      </c>
      <c r="W535" s="222"/>
      <c r="X535" s="186" t="str">
        <f t="shared" si="27"/>
        <v/>
      </c>
      <c r="Y535" s="178" t="str">
        <f t="shared" si="25"/>
        <v/>
      </c>
      <c r="Z535" s="178" t="str">
        <f t="shared" si="26"/>
        <v/>
      </c>
      <c r="AA535" s="44"/>
      <c r="AB535" s="65"/>
    </row>
    <row r="536" spans="1:28" ht="25" hidden="1">
      <c r="A536" s="751">
        <v>10356</v>
      </c>
      <c r="B536" s="752" t="s">
        <v>35</v>
      </c>
      <c r="C536" s="751" t="s">
        <v>2960</v>
      </c>
      <c r="D536" s="752" t="s">
        <v>1766</v>
      </c>
      <c r="E536" s="752" t="s">
        <v>1767</v>
      </c>
      <c r="F536" s="751">
        <v>1981</v>
      </c>
      <c r="G536" s="752" t="s">
        <v>92</v>
      </c>
      <c r="H536" s="752" t="s">
        <v>1245</v>
      </c>
      <c r="I536" s="752" t="s">
        <v>60</v>
      </c>
      <c r="J536" s="751">
        <v>22</v>
      </c>
      <c r="K536" s="751">
        <v>2</v>
      </c>
      <c r="L536" s="752" t="s">
        <v>54</v>
      </c>
      <c r="M536" s="752" t="s">
        <v>44</v>
      </c>
      <c r="N536" s="752" t="s">
        <v>71</v>
      </c>
      <c r="O536" s="752" t="s">
        <v>72</v>
      </c>
      <c r="P536" s="752" t="s">
        <v>47</v>
      </c>
      <c r="Q536" s="753">
        <v>114752</v>
      </c>
      <c r="R536" s="753">
        <v>114752</v>
      </c>
      <c r="S536" s="753">
        <v>918016</v>
      </c>
      <c r="T536" s="753">
        <v>918016</v>
      </c>
      <c r="U536" s="753">
        <v>63871</v>
      </c>
      <c r="V536" s="751">
        <v>2019</v>
      </c>
      <c r="W536" s="222"/>
      <c r="X536" s="186">
        <f t="shared" si="27"/>
        <v>14.372970518701758</v>
      </c>
      <c r="Y536" s="178" t="str">
        <f t="shared" si="25"/>
        <v/>
      </c>
      <c r="Z536" s="178" t="str">
        <f t="shared" si="26"/>
        <v/>
      </c>
      <c r="AA536" s="44"/>
      <c r="AB536" s="65"/>
    </row>
    <row r="537" spans="1:28" ht="25" hidden="1">
      <c r="A537" s="751">
        <v>10408</v>
      </c>
      <c r="B537" s="752" t="s">
        <v>56</v>
      </c>
      <c r="C537" s="751" t="s">
        <v>2960</v>
      </c>
      <c r="D537" s="752" t="s">
        <v>824</v>
      </c>
      <c r="E537" s="752" t="s">
        <v>824</v>
      </c>
      <c r="F537" s="751">
        <v>3692</v>
      </c>
      <c r="G537" s="752" t="s">
        <v>83</v>
      </c>
      <c r="H537" s="752" t="s">
        <v>1245</v>
      </c>
      <c r="I537" s="752" t="s">
        <v>60</v>
      </c>
      <c r="J537" s="751">
        <v>611</v>
      </c>
      <c r="K537" s="751">
        <v>5</v>
      </c>
      <c r="L537" s="752" t="s">
        <v>423</v>
      </c>
      <c r="M537" s="752" t="s">
        <v>53</v>
      </c>
      <c r="N537" s="752" t="s">
        <v>48</v>
      </c>
      <c r="O537" s="752" t="s">
        <v>48</v>
      </c>
      <c r="P537" s="752" t="s">
        <v>49</v>
      </c>
      <c r="Q537" s="753">
        <v>0</v>
      </c>
      <c r="R537" s="753">
        <v>0</v>
      </c>
      <c r="S537" s="753">
        <v>0</v>
      </c>
      <c r="T537" s="753">
        <v>0</v>
      </c>
      <c r="U537" s="753">
        <v>0</v>
      </c>
      <c r="V537" s="751">
        <v>2019</v>
      </c>
      <c r="W537" s="222"/>
      <c r="X537" s="186" t="str">
        <f t="shared" si="27"/>
        <v/>
      </c>
      <c r="Y537" s="178" t="str">
        <f t="shared" si="25"/>
        <v/>
      </c>
      <c r="Z537" s="178" t="str">
        <f t="shared" si="26"/>
        <v/>
      </c>
      <c r="AA537" s="44"/>
      <c r="AB537" s="65"/>
    </row>
    <row r="538" spans="1:28" ht="25" hidden="1">
      <c r="A538" s="751">
        <v>10408</v>
      </c>
      <c r="B538" s="752" t="s">
        <v>56</v>
      </c>
      <c r="C538" s="751" t="s">
        <v>2960</v>
      </c>
      <c r="D538" s="752" t="s">
        <v>824</v>
      </c>
      <c r="E538" s="752" t="s">
        <v>824</v>
      </c>
      <c r="F538" s="751">
        <v>3692</v>
      </c>
      <c r="G538" s="752" t="s">
        <v>83</v>
      </c>
      <c r="H538" s="752" t="s">
        <v>1245</v>
      </c>
      <c r="I538" s="752" t="s">
        <v>60</v>
      </c>
      <c r="J538" s="751">
        <v>611</v>
      </c>
      <c r="K538" s="751">
        <v>5</v>
      </c>
      <c r="L538" s="752" t="s">
        <v>423</v>
      </c>
      <c r="M538" s="752" t="s">
        <v>53</v>
      </c>
      <c r="N538" s="752" t="s">
        <v>41</v>
      </c>
      <c r="O538" s="752" t="s">
        <v>41</v>
      </c>
      <c r="P538" s="752" t="s">
        <v>1091</v>
      </c>
      <c r="Q538" s="753">
        <v>95204</v>
      </c>
      <c r="R538" s="753">
        <v>53468</v>
      </c>
      <c r="S538" s="753">
        <v>95204</v>
      </c>
      <c r="T538" s="753">
        <v>53468</v>
      </c>
      <c r="U538" s="753">
        <v>8907.2199999999993</v>
      </c>
      <c r="V538" s="751">
        <v>2019</v>
      </c>
      <c r="W538" s="222"/>
      <c r="X538" s="186" t="str">
        <f t="shared" si="27"/>
        <v/>
      </c>
      <c r="Y538" s="178" t="str">
        <f t="shared" si="25"/>
        <v/>
      </c>
      <c r="Z538" s="178" t="str">
        <f t="shared" si="26"/>
        <v/>
      </c>
      <c r="AA538" s="44"/>
      <c r="AB538" s="65"/>
    </row>
    <row r="539" spans="1:28" ht="25" hidden="1">
      <c r="A539" s="751">
        <v>10408</v>
      </c>
      <c r="B539" s="752" t="s">
        <v>56</v>
      </c>
      <c r="C539" s="751" t="s">
        <v>2960</v>
      </c>
      <c r="D539" s="752" t="s">
        <v>824</v>
      </c>
      <c r="E539" s="752" t="s">
        <v>824</v>
      </c>
      <c r="F539" s="751">
        <v>3692</v>
      </c>
      <c r="G539" s="752" t="s">
        <v>83</v>
      </c>
      <c r="H539" s="752" t="s">
        <v>1245</v>
      </c>
      <c r="I539" s="752" t="s">
        <v>60</v>
      </c>
      <c r="J539" s="751">
        <v>611</v>
      </c>
      <c r="K539" s="751">
        <v>5</v>
      </c>
      <c r="L539" s="752" t="s">
        <v>423</v>
      </c>
      <c r="M539" s="752" t="s">
        <v>53</v>
      </c>
      <c r="N539" s="752" t="s">
        <v>63</v>
      </c>
      <c r="O539" s="752" t="s">
        <v>63</v>
      </c>
      <c r="P539" s="752" t="s">
        <v>49</v>
      </c>
      <c r="Q539" s="753">
        <v>0</v>
      </c>
      <c r="R539" s="753">
        <v>0</v>
      </c>
      <c r="S539" s="753">
        <v>0</v>
      </c>
      <c r="T539" s="753">
        <v>0</v>
      </c>
      <c r="U539" s="753">
        <v>0</v>
      </c>
      <c r="V539" s="751">
        <v>2019</v>
      </c>
      <c r="W539" s="222"/>
      <c r="X539" s="186" t="str">
        <f t="shared" si="27"/>
        <v/>
      </c>
      <c r="Y539" s="178" t="str">
        <f t="shared" si="25"/>
        <v/>
      </c>
      <c r="Z539" s="178" t="str">
        <f t="shared" si="26"/>
        <v/>
      </c>
      <c r="AA539" s="44"/>
      <c r="AB539" s="65"/>
    </row>
    <row r="540" spans="1:28" ht="25" hidden="1">
      <c r="A540" s="751">
        <v>10417</v>
      </c>
      <c r="B540" s="752" t="s">
        <v>56</v>
      </c>
      <c r="C540" s="751" t="s">
        <v>2960</v>
      </c>
      <c r="D540" s="752" t="s">
        <v>825</v>
      </c>
      <c r="E540" s="752" t="s">
        <v>826</v>
      </c>
      <c r="F540" s="751">
        <v>39878</v>
      </c>
      <c r="G540" s="752" t="s">
        <v>83</v>
      </c>
      <c r="H540" s="752" t="s">
        <v>1245</v>
      </c>
      <c r="I540" s="752" t="s">
        <v>60</v>
      </c>
      <c r="J540" s="751">
        <v>325211</v>
      </c>
      <c r="K540" s="751">
        <v>7</v>
      </c>
      <c r="L540" s="752" t="s">
        <v>419</v>
      </c>
      <c r="M540" s="752" t="s">
        <v>44</v>
      </c>
      <c r="N540" s="752" t="s">
        <v>45</v>
      </c>
      <c r="O540" s="752" t="s">
        <v>46</v>
      </c>
      <c r="P540" s="752" t="s">
        <v>47</v>
      </c>
      <c r="Q540" s="753">
        <v>0</v>
      </c>
      <c r="R540" s="753">
        <v>0</v>
      </c>
      <c r="S540" s="753">
        <v>0</v>
      </c>
      <c r="T540" s="753">
        <v>0</v>
      </c>
      <c r="U540" s="753">
        <v>0</v>
      </c>
      <c r="V540" s="751">
        <v>2019</v>
      </c>
      <c r="W540" s="222"/>
      <c r="X540" s="186" t="str">
        <f t="shared" si="27"/>
        <v/>
      </c>
      <c r="Y540" s="86" t="str">
        <f t="shared" si="25"/>
        <v/>
      </c>
      <c r="Z540" s="86" t="str">
        <f t="shared" si="26"/>
        <v/>
      </c>
      <c r="AA540" s="44"/>
      <c r="AB540" s="65"/>
    </row>
    <row r="541" spans="1:28" hidden="1">
      <c r="A541" s="751">
        <v>10417</v>
      </c>
      <c r="B541" s="752" t="s">
        <v>56</v>
      </c>
      <c r="C541" s="751" t="s">
        <v>2960</v>
      </c>
      <c r="D541" s="752" t="s">
        <v>825</v>
      </c>
      <c r="E541" s="752" t="s">
        <v>826</v>
      </c>
      <c r="F541" s="751">
        <v>39878</v>
      </c>
      <c r="G541" s="752" t="s">
        <v>83</v>
      </c>
      <c r="H541" s="752" t="s">
        <v>1245</v>
      </c>
      <c r="I541" s="752" t="s">
        <v>60</v>
      </c>
      <c r="J541" s="751">
        <v>325211</v>
      </c>
      <c r="K541" s="751">
        <v>7</v>
      </c>
      <c r="L541" s="752" t="s">
        <v>419</v>
      </c>
      <c r="M541" s="752" t="s">
        <v>44</v>
      </c>
      <c r="N541" s="752" t="s">
        <v>41</v>
      </c>
      <c r="O541" s="752" t="s">
        <v>41</v>
      </c>
      <c r="P541" s="752" t="s">
        <v>1091</v>
      </c>
      <c r="Q541" s="753">
        <v>1688925</v>
      </c>
      <c r="R541" s="753">
        <v>137951</v>
      </c>
      <c r="S541" s="753">
        <v>1736914</v>
      </c>
      <c r="T541" s="753">
        <v>141873</v>
      </c>
      <c r="U541" s="753">
        <v>22622</v>
      </c>
      <c r="V541" s="751">
        <v>2019</v>
      </c>
      <c r="W541" s="222"/>
      <c r="X541" s="186" t="str">
        <f t="shared" si="27"/>
        <v/>
      </c>
      <c r="Y541" s="178" t="str">
        <f t="shared" si="25"/>
        <v/>
      </c>
      <c r="Z541" s="178" t="str">
        <f t="shared" si="26"/>
        <v/>
      </c>
      <c r="AA541" s="44"/>
      <c r="AB541" s="65"/>
    </row>
    <row r="542" spans="1:28" ht="25" hidden="1">
      <c r="A542" s="751">
        <v>10464</v>
      </c>
      <c r="B542" s="752" t="s">
        <v>35</v>
      </c>
      <c r="C542" s="751" t="s">
        <v>2960</v>
      </c>
      <c r="D542" s="752" t="s">
        <v>1932</v>
      </c>
      <c r="E542" s="752" t="s">
        <v>1257</v>
      </c>
      <c r="F542" s="751">
        <v>1746</v>
      </c>
      <c r="G542" s="752" t="s">
        <v>59</v>
      </c>
      <c r="H542" s="752" t="s">
        <v>1244</v>
      </c>
      <c r="I542" s="752" t="s">
        <v>60</v>
      </c>
      <c r="J542" s="751">
        <v>22</v>
      </c>
      <c r="K542" s="751">
        <v>2</v>
      </c>
      <c r="L542" s="752" t="s">
        <v>54</v>
      </c>
      <c r="M542" s="752" t="s">
        <v>44</v>
      </c>
      <c r="N542" s="752" t="s">
        <v>45</v>
      </c>
      <c r="O542" s="752" t="s">
        <v>46</v>
      </c>
      <c r="P542" s="752" t="s">
        <v>47</v>
      </c>
      <c r="Q542" s="753">
        <v>0</v>
      </c>
      <c r="R542" s="753">
        <v>0</v>
      </c>
      <c r="S542" s="753">
        <v>0</v>
      </c>
      <c r="T542" s="753">
        <v>0</v>
      </c>
      <c r="U542" s="753">
        <v>0</v>
      </c>
      <c r="V542" s="751">
        <v>2019</v>
      </c>
      <c r="W542" s="222"/>
      <c r="X542" s="186" t="str">
        <f t="shared" si="27"/>
        <v/>
      </c>
      <c r="Y542" s="178" t="str">
        <f t="shared" si="25"/>
        <v/>
      </c>
      <c r="Z542" s="178" t="str">
        <f t="shared" si="26"/>
        <v/>
      </c>
      <c r="AA542" s="44"/>
      <c r="AB542" s="65"/>
    </row>
    <row r="543" spans="1:28" hidden="1">
      <c r="A543" s="751">
        <v>10464</v>
      </c>
      <c r="B543" s="752" t="s">
        <v>35</v>
      </c>
      <c r="C543" s="751" t="s">
        <v>2960</v>
      </c>
      <c r="D543" s="752" t="s">
        <v>1932</v>
      </c>
      <c r="E543" s="752" t="s">
        <v>1257</v>
      </c>
      <c r="F543" s="751">
        <v>1746</v>
      </c>
      <c r="G543" s="752" t="s">
        <v>59</v>
      </c>
      <c r="H543" s="752" t="s">
        <v>1244</v>
      </c>
      <c r="I543" s="752" t="s">
        <v>60</v>
      </c>
      <c r="J543" s="751">
        <v>22</v>
      </c>
      <c r="K543" s="751">
        <v>2</v>
      </c>
      <c r="L543" s="752" t="s">
        <v>54</v>
      </c>
      <c r="M543" s="752" t="s">
        <v>44</v>
      </c>
      <c r="N543" s="752" t="s">
        <v>48</v>
      </c>
      <c r="O543" s="752" t="s">
        <v>48</v>
      </c>
      <c r="P543" s="752" t="s">
        <v>49</v>
      </c>
      <c r="Q543" s="753">
        <v>1556</v>
      </c>
      <c r="R543" s="753">
        <v>1556</v>
      </c>
      <c r="S543" s="753">
        <v>9018</v>
      </c>
      <c r="T543" s="753">
        <v>9018</v>
      </c>
      <c r="U543" s="753">
        <v>458.26799999999997</v>
      </c>
      <c r="V543" s="751">
        <v>2019</v>
      </c>
      <c r="W543" s="222"/>
      <c r="X543" s="186"/>
      <c r="Y543" s="86" t="str">
        <f t="shared" si="25"/>
        <v/>
      </c>
      <c r="Z543" s="86" t="str">
        <f t="shared" si="26"/>
        <v/>
      </c>
      <c r="AA543" s="44"/>
      <c r="AB543" s="65"/>
    </row>
    <row r="544" spans="1:28" hidden="1">
      <c r="A544" s="751">
        <v>10464</v>
      </c>
      <c r="B544" s="752" t="s">
        <v>35</v>
      </c>
      <c r="C544" s="751" t="s">
        <v>2960</v>
      </c>
      <c r="D544" s="752" t="s">
        <v>1932</v>
      </c>
      <c r="E544" s="752" t="s">
        <v>1257</v>
      </c>
      <c r="F544" s="751">
        <v>1746</v>
      </c>
      <c r="G544" s="752" t="s">
        <v>59</v>
      </c>
      <c r="H544" s="752" t="s">
        <v>1244</v>
      </c>
      <c r="I544" s="752" t="s">
        <v>60</v>
      </c>
      <c r="J544" s="751">
        <v>22</v>
      </c>
      <c r="K544" s="751">
        <v>2</v>
      </c>
      <c r="L544" s="752" t="s">
        <v>54</v>
      </c>
      <c r="M544" s="752" t="s">
        <v>44</v>
      </c>
      <c r="N544" s="752" t="s">
        <v>68</v>
      </c>
      <c r="O544" s="752" t="s">
        <v>69</v>
      </c>
      <c r="P544" s="752" t="s">
        <v>49</v>
      </c>
      <c r="Q544" s="753">
        <v>0</v>
      </c>
      <c r="R544" s="753">
        <v>0</v>
      </c>
      <c r="S544" s="753">
        <v>0</v>
      </c>
      <c r="T544" s="753">
        <v>0</v>
      </c>
      <c r="U544" s="753">
        <v>0</v>
      </c>
      <c r="V544" s="751">
        <v>2019</v>
      </c>
      <c r="W544" s="222"/>
      <c r="X544" s="186"/>
      <c r="Y544" s="86" t="str">
        <f t="shared" si="25"/>
        <v/>
      </c>
      <c r="Z544" s="86" t="str">
        <f t="shared" si="26"/>
        <v/>
      </c>
      <c r="AA544" s="44"/>
      <c r="AB544" s="65"/>
    </row>
    <row r="545" spans="1:28" ht="25" hidden="1">
      <c r="A545" s="751">
        <v>10464</v>
      </c>
      <c r="B545" s="752" t="s">
        <v>35</v>
      </c>
      <c r="C545" s="751" t="s">
        <v>2960</v>
      </c>
      <c r="D545" s="752" t="s">
        <v>1932</v>
      </c>
      <c r="E545" s="752" t="s">
        <v>1257</v>
      </c>
      <c r="F545" s="751">
        <v>1746</v>
      </c>
      <c r="G545" s="752" t="s">
        <v>59</v>
      </c>
      <c r="H545" s="752" t="s">
        <v>1244</v>
      </c>
      <c r="I545" s="752" t="s">
        <v>60</v>
      </c>
      <c r="J545" s="751">
        <v>22</v>
      </c>
      <c r="K545" s="751">
        <v>2</v>
      </c>
      <c r="L545" s="752" t="s">
        <v>54</v>
      </c>
      <c r="M545" s="752" t="s">
        <v>44</v>
      </c>
      <c r="N545" s="752" t="s">
        <v>67</v>
      </c>
      <c r="O545" s="752" t="s">
        <v>67</v>
      </c>
      <c r="P545" s="752" t="s">
        <v>47</v>
      </c>
      <c r="Q545" s="753">
        <v>0</v>
      </c>
      <c r="R545" s="753">
        <v>0</v>
      </c>
      <c r="S545" s="753">
        <v>0</v>
      </c>
      <c r="T545" s="753">
        <v>0</v>
      </c>
      <c r="U545" s="753">
        <v>0</v>
      </c>
      <c r="V545" s="751">
        <v>2019</v>
      </c>
      <c r="W545" s="222"/>
      <c r="X545" s="186" t="str">
        <f>IF(OR(K545&gt;3,T545=0,NOT(U545&gt;0)),"",T545/U545)</f>
        <v/>
      </c>
      <c r="Y545" s="86" t="str">
        <f t="shared" si="25"/>
        <v/>
      </c>
      <c r="Z545" s="86" t="str">
        <f t="shared" si="26"/>
        <v/>
      </c>
      <c r="AA545" s="44"/>
      <c r="AB545" s="65"/>
    </row>
    <row r="546" spans="1:28" ht="25" hidden="1">
      <c r="A546" s="751">
        <v>10464</v>
      </c>
      <c r="B546" s="752" t="s">
        <v>35</v>
      </c>
      <c r="C546" s="751" t="s">
        <v>2960</v>
      </c>
      <c r="D546" s="752" t="s">
        <v>1932</v>
      </c>
      <c r="E546" s="752" t="s">
        <v>1257</v>
      </c>
      <c r="F546" s="751">
        <v>1746</v>
      </c>
      <c r="G546" s="752" t="s">
        <v>59</v>
      </c>
      <c r="H546" s="752" t="s">
        <v>1244</v>
      </c>
      <c r="I546" s="752" t="s">
        <v>60</v>
      </c>
      <c r="J546" s="751">
        <v>22</v>
      </c>
      <c r="K546" s="751">
        <v>2</v>
      </c>
      <c r="L546" s="752" t="s">
        <v>54</v>
      </c>
      <c r="M546" s="752" t="s">
        <v>44</v>
      </c>
      <c r="N546" s="752" t="s">
        <v>410</v>
      </c>
      <c r="O546" s="752" t="s">
        <v>84</v>
      </c>
      <c r="P546" s="752" t="s">
        <v>47</v>
      </c>
      <c r="Q546" s="753">
        <v>2040</v>
      </c>
      <c r="R546" s="753">
        <v>2040</v>
      </c>
      <c r="S546" s="753">
        <v>54161</v>
      </c>
      <c r="T546" s="753">
        <v>54161</v>
      </c>
      <c r="U546" s="753">
        <v>2695.7829999999999</v>
      </c>
      <c r="V546" s="751">
        <v>2019</v>
      </c>
      <c r="W546" s="222"/>
      <c r="X546" s="186">
        <f>IF(OR(K546&gt;3,T546=0,NOT(U546&gt;0)),"",T546/U546)</f>
        <v>20.09100880894345</v>
      </c>
      <c r="Y546" s="86" t="str">
        <f t="shared" si="25"/>
        <v/>
      </c>
      <c r="Z546" s="86" t="str">
        <f t="shared" si="26"/>
        <v/>
      </c>
      <c r="AA546" s="44"/>
      <c r="AB546" s="65"/>
    </row>
    <row r="547" spans="1:28" s="154" customFormat="1" ht="25" hidden="1">
      <c r="A547" s="751">
        <v>10464</v>
      </c>
      <c r="B547" s="752" t="s">
        <v>35</v>
      </c>
      <c r="C547" s="751" t="s">
        <v>2960</v>
      </c>
      <c r="D547" s="752" t="s">
        <v>1932</v>
      </c>
      <c r="E547" s="752" t="s">
        <v>1257</v>
      </c>
      <c r="F547" s="751">
        <v>1746</v>
      </c>
      <c r="G547" s="752" t="s">
        <v>59</v>
      </c>
      <c r="H547" s="752" t="s">
        <v>1244</v>
      </c>
      <c r="I547" s="752" t="s">
        <v>60</v>
      </c>
      <c r="J547" s="751">
        <v>22</v>
      </c>
      <c r="K547" s="751">
        <v>2</v>
      </c>
      <c r="L547" s="752" t="s">
        <v>54</v>
      </c>
      <c r="M547" s="752" t="s">
        <v>44</v>
      </c>
      <c r="N547" s="752" t="s">
        <v>71</v>
      </c>
      <c r="O547" s="752" t="s">
        <v>72</v>
      </c>
      <c r="P547" s="752" t="s">
        <v>47</v>
      </c>
      <c r="Q547" s="753">
        <v>540165</v>
      </c>
      <c r="R547" s="753">
        <v>540165</v>
      </c>
      <c r="S547" s="753">
        <v>5671735</v>
      </c>
      <c r="T547" s="753">
        <v>5671735</v>
      </c>
      <c r="U547" s="753">
        <v>292435.95</v>
      </c>
      <c r="V547" s="751">
        <v>2019</v>
      </c>
      <c r="W547" s="222"/>
      <c r="X547" s="186">
        <f>IF(OR(K547&gt;3,T547=0,NOT(U547&gt;0)),"",T547/U547)</f>
        <v>19.394793971124276</v>
      </c>
      <c r="Y547" s="178" t="str">
        <f t="shared" si="25"/>
        <v/>
      </c>
      <c r="Z547" s="178" t="str">
        <f t="shared" si="26"/>
        <v/>
      </c>
      <c r="AA547" s="44"/>
      <c r="AB547" s="179"/>
    </row>
    <row r="548" spans="1:28" s="154" customFormat="1" ht="25" hidden="1">
      <c r="A548" s="751">
        <v>10467</v>
      </c>
      <c r="B548" s="752" t="s">
        <v>35</v>
      </c>
      <c r="C548" s="751" t="s">
        <v>2960</v>
      </c>
      <c r="D548" s="752" t="s">
        <v>827</v>
      </c>
      <c r="E548" s="752" t="s">
        <v>815</v>
      </c>
      <c r="F548" s="751">
        <v>55754</v>
      </c>
      <c r="G548" s="752" t="s">
        <v>59</v>
      </c>
      <c r="H548" s="752" t="s">
        <v>1244</v>
      </c>
      <c r="I548" s="752" t="s">
        <v>60</v>
      </c>
      <c r="J548" s="751">
        <v>22</v>
      </c>
      <c r="K548" s="751">
        <v>2</v>
      </c>
      <c r="L548" s="752" t="s">
        <v>54</v>
      </c>
      <c r="M548" s="752" t="s">
        <v>37</v>
      </c>
      <c r="N548" s="752" t="s">
        <v>38</v>
      </c>
      <c r="O548" s="752" t="s">
        <v>39</v>
      </c>
      <c r="P548" s="752" t="s">
        <v>1238</v>
      </c>
      <c r="Q548" s="753">
        <v>0</v>
      </c>
      <c r="R548" s="753">
        <v>0</v>
      </c>
      <c r="S548" s="753">
        <v>138990</v>
      </c>
      <c r="T548" s="753">
        <v>138990</v>
      </c>
      <c r="U548" s="753">
        <v>15610</v>
      </c>
      <c r="V548" s="751">
        <v>2019</v>
      </c>
      <c r="W548" s="222"/>
      <c r="X548" s="186">
        <f>IF(OR(K548&gt;3,T548=0,NOT(U548&gt;0)),"",T548/U548)</f>
        <v>8.903907751441384</v>
      </c>
      <c r="Y548" s="178" t="str">
        <f t="shared" si="25"/>
        <v/>
      </c>
      <c r="Z548" s="178" t="str">
        <f t="shared" si="26"/>
        <v/>
      </c>
      <c r="AA548" s="44"/>
      <c r="AB548" s="179"/>
    </row>
    <row r="549" spans="1:28" hidden="1">
      <c r="A549" s="751">
        <v>10490</v>
      </c>
      <c r="B549" s="752" t="s">
        <v>35</v>
      </c>
      <c r="C549" s="751" t="s">
        <v>2960</v>
      </c>
      <c r="D549" s="752" t="s">
        <v>1666</v>
      </c>
      <c r="E549" s="752" t="s">
        <v>1159</v>
      </c>
      <c r="F549" s="751">
        <v>57280</v>
      </c>
      <c r="G549" s="752" t="s">
        <v>59</v>
      </c>
      <c r="H549" s="752" t="s">
        <v>1244</v>
      </c>
      <c r="I549" s="752" t="s">
        <v>60</v>
      </c>
      <c r="J549" s="751">
        <v>22</v>
      </c>
      <c r="K549" s="751">
        <v>2</v>
      </c>
      <c r="L549" s="752" t="s">
        <v>54</v>
      </c>
      <c r="M549" s="752" t="s">
        <v>37</v>
      </c>
      <c r="N549" s="752" t="s">
        <v>38</v>
      </c>
      <c r="O549" s="752" t="s">
        <v>39</v>
      </c>
      <c r="P549" s="752" t="s">
        <v>1238</v>
      </c>
      <c r="Q549" s="753">
        <v>0</v>
      </c>
      <c r="R549" s="753">
        <v>0</v>
      </c>
      <c r="S549" s="753">
        <v>83413</v>
      </c>
      <c r="T549" s="753">
        <v>83413</v>
      </c>
      <c r="U549" s="753">
        <v>9368</v>
      </c>
      <c r="V549" s="751">
        <v>2019</v>
      </c>
      <c r="W549" s="222"/>
      <c r="X549" s="186"/>
      <c r="Y549" s="178" t="str">
        <f t="shared" si="25"/>
        <v/>
      </c>
      <c r="Z549" s="178" t="str">
        <f t="shared" si="26"/>
        <v/>
      </c>
      <c r="AA549" s="44"/>
      <c r="AB549" s="65"/>
    </row>
    <row r="550" spans="1:28" ht="25" hidden="1">
      <c r="A550" s="751">
        <v>10491</v>
      </c>
      <c r="B550" s="752" t="s">
        <v>56</v>
      </c>
      <c r="C550" s="751" t="s">
        <v>2960</v>
      </c>
      <c r="D550" s="752" t="s">
        <v>828</v>
      </c>
      <c r="E550" s="752" t="s">
        <v>2969</v>
      </c>
      <c r="F550" s="751">
        <v>61813</v>
      </c>
      <c r="G550" s="752" t="s">
        <v>92</v>
      </c>
      <c r="H550" s="752" t="s">
        <v>1245</v>
      </c>
      <c r="I550" s="752" t="s">
        <v>60</v>
      </c>
      <c r="J550" s="751">
        <v>322122</v>
      </c>
      <c r="K550" s="751">
        <v>7</v>
      </c>
      <c r="L550" s="752" t="s">
        <v>419</v>
      </c>
      <c r="M550" s="752" t="s">
        <v>44</v>
      </c>
      <c r="N550" s="752" t="s">
        <v>45</v>
      </c>
      <c r="O550" s="752" t="s">
        <v>46</v>
      </c>
      <c r="P550" s="752" t="s">
        <v>47</v>
      </c>
      <c r="Q550" s="753">
        <v>0</v>
      </c>
      <c r="R550" s="753">
        <v>0</v>
      </c>
      <c r="S550" s="753">
        <v>0</v>
      </c>
      <c r="T550" s="753">
        <v>0</v>
      </c>
      <c r="U550" s="753">
        <v>0</v>
      </c>
      <c r="V550" s="751">
        <v>2019</v>
      </c>
      <c r="W550" s="222"/>
      <c r="X550" s="186"/>
      <c r="Y550" s="178" t="str">
        <f t="shared" si="25"/>
        <v/>
      </c>
      <c r="Z550" s="178" t="str">
        <f t="shared" si="26"/>
        <v/>
      </c>
      <c r="AA550" s="44"/>
      <c r="AB550" s="65"/>
    </row>
    <row r="551" spans="1:28" hidden="1">
      <c r="A551" s="751">
        <v>10491</v>
      </c>
      <c r="B551" s="752" t="s">
        <v>56</v>
      </c>
      <c r="C551" s="751" t="s">
        <v>2960</v>
      </c>
      <c r="D551" s="752" t="s">
        <v>828</v>
      </c>
      <c r="E551" s="752" t="s">
        <v>2969</v>
      </c>
      <c r="F551" s="751">
        <v>61813</v>
      </c>
      <c r="G551" s="752" t="s">
        <v>92</v>
      </c>
      <c r="H551" s="752" t="s">
        <v>1245</v>
      </c>
      <c r="I551" s="752" t="s">
        <v>60</v>
      </c>
      <c r="J551" s="751">
        <v>322122</v>
      </c>
      <c r="K551" s="751">
        <v>7</v>
      </c>
      <c r="L551" s="752" t="s">
        <v>419</v>
      </c>
      <c r="M551" s="752" t="s">
        <v>44</v>
      </c>
      <c r="N551" s="752" t="s">
        <v>41</v>
      </c>
      <c r="O551" s="752" t="s">
        <v>41</v>
      </c>
      <c r="P551" s="752" t="s">
        <v>1091</v>
      </c>
      <c r="Q551" s="753">
        <v>628428</v>
      </c>
      <c r="R551" s="753">
        <v>0</v>
      </c>
      <c r="S551" s="753">
        <v>628428</v>
      </c>
      <c r="T551" s="753">
        <v>0</v>
      </c>
      <c r="U551" s="753">
        <v>0</v>
      </c>
      <c r="V551" s="751">
        <v>2019</v>
      </c>
      <c r="W551" s="222"/>
      <c r="X551" s="186" t="str">
        <f>IF(OR(K551&gt;3,T551=0,NOT(U551&gt;0)),"",T551/U551)</f>
        <v/>
      </c>
      <c r="Y551" s="178" t="str">
        <f t="shared" si="25"/>
        <v/>
      </c>
      <c r="Z551" s="178" t="str">
        <f t="shared" si="26"/>
        <v/>
      </c>
      <c r="AA551" s="44"/>
      <c r="AB551" s="65"/>
    </row>
    <row r="552" spans="1:28" hidden="1">
      <c r="A552" s="751">
        <v>10491</v>
      </c>
      <c r="B552" s="752" t="s">
        <v>56</v>
      </c>
      <c r="C552" s="751" t="s">
        <v>2960</v>
      </c>
      <c r="D552" s="752" t="s">
        <v>828</v>
      </c>
      <c r="E552" s="752" t="s">
        <v>2969</v>
      </c>
      <c r="F552" s="751">
        <v>61813</v>
      </c>
      <c r="G552" s="752" t="s">
        <v>92</v>
      </c>
      <c r="H552" s="752" t="s">
        <v>1245</v>
      </c>
      <c r="I552" s="752" t="s">
        <v>60</v>
      </c>
      <c r="J552" s="751">
        <v>322122</v>
      </c>
      <c r="K552" s="751">
        <v>7</v>
      </c>
      <c r="L552" s="752" t="s">
        <v>419</v>
      </c>
      <c r="M552" s="752" t="s">
        <v>44</v>
      </c>
      <c r="N552" s="752" t="s">
        <v>63</v>
      </c>
      <c r="O552" s="752" t="s">
        <v>63</v>
      </c>
      <c r="P552" s="752" t="s">
        <v>49</v>
      </c>
      <c r="Q552" s="753">
        <v>0</v>
      </c>
      <c r="R552" s="753">
        <v>0</v>
      </c>
      <c r="S552" s="753">
        <v>0</v>
      </c>
      <c r="T552" s="753">
        <v>0</v>
      </c>
      <c r="U552" s="753">
        <v>0</v>
      </c>
      <c r="V552" s="751">
        <v>2019</v>
      </c>
      <c r="W552" s="222"/>
      <c r="X552" s="186" t="str">
        <f>IF(OR(K552&gt;3,T552=0,NOT(U552&gt;0)),"",T552/U552)</f>
        <v/>
      </c>
      <c r="Y552" s="178" t="str">
        <f t="shared" si="25"/>
        <v/>
      </c>
      <c r="Z552" s="178" t="str">
        <f t="shared" si="26"/>
        <v/>
      </c>
      <c r="AA552" s="44"/>
      <c r="AB552" s="65"/>
    </row>
    <row r="553" spans="1:28" ht="25" hidden="1">
      <c r="A553" s="751">
        <v>10491</v>
      </c>
      <c r="B553" s="752" t="s">
        <v>56</v>
      </c>
      <c r="C553" s="751" t="s">
        <v>2960</v>
      </c>
      <c r="D553" s="752" t="s">
        <v>828</v>
      </c>
      <c r="E553" s="752" t="s">
        <v>2969</v>
      </c>
      <c r="F553" s="751">
        <v>61813</v>
      </c>
      <c r="G553" s="752" t="s">
        <v>92</v>
      </c>
      <c r="H553" s="752" t="s">
        <v>1245</v>
      </c>
      <c r="I553" s="752" t="s">
        <v>60</v>
      </c>
      <c r="J553" s="751">
        <v>322122</v>
      </c>
      <c r="K553" s="751">
        <v>7</v>
      </c>
      <c r="L553" s="752" t="s">
        <v>419</v>
      </c>
      <c r="M553" s="752" t="s">
        <v>44</v>
      </c>
      <c r="N553" s="752" t="s">
        <v>160</v>
      </c>
      <c r="O553" s="752" t="s">
        <v>51</v>
      </c>
      <c r="P553" s="752" t="s">
        <v>47</v>
      </c>
      <c r="Q553" s="753">
        <v>0</v>
      </c>
      <c r="R553" s="753">
        <v>0</v>
      </c>
      <c r="S553" s="753">
        <v>0</v>
      </c>
      <c r="T553" s="753">
        <v>0</v>
      </c>
      <c r="U553" s="753">
        <v>0</v>
      </c>
      <c r="V553" s="751">
        <v>2019</v>
      </c>
      <c r="W553" s="222"/>
      <c r="X553" s="186" t="str">
        <f>IF(OR(K553&gt;3,T553=0,NOT(U553&gt;0)),"",T553/U553)</f>
        <v/>
      </c>
      <c r="Y553" s="178" t="str">
        <f t="shared" si="25"/>
        <v/>
      </c>
      <c r="Z553" s="178" t="str">
        <f t="shared" si="26"/>
        <v/>
      </c>
      <c r="AA553" s="44"/>
      <c r="AB553" s="65"/>
    </row>
    <row r="554" spans="1:28" hidden="1">
      <c r="A554" s="751">
        <v>10493</v>
      </c>
      <c r="B554" s="752" t="s">
        <v>35</v>
      </c>
      <c r="C554" s="751" t="s">
        <v>2960</v>
      </c>
      <c r="D554" s="752" t="s">
        <v>1258</v>
      </c>
      <c r="E554" s="752" t="s">
        <v>152</v>
      </c>
      <c r="F554" s="751">
        <v>50083</v>
      </c>
      <c r="G554" s="752" t="s">
        <v>92</v>
      </c>
      <c r="H554" s="752" t="s">
        <v>1245</v>
      </c>
      <c r="I554" s="752" t="s">
        <v>60</v>
      </c>
      <c r="J554" s="751">
        <v>22</v>
      </c>
      <c r="K554" s="751">
        <v>2</v>
      </c>
      <c r="L554" s="752" t="s">
        <v>54</v>
      </c>
      <c r="M554" s="752" t="s">
        <v>37</v>
      </c>
      <c r="N554" s="752" t="s">
        <v>38</v>
      </c>
      <c r="O554" s="752" t="s">
        <v>39</v>
      </c>
      <c r="P554" s="752" t="s">
        <v>1238</v>
      </c>
      <c r="Q554" s="753">
        <v>0</v>
      </c>
      <c r="R554" s="753">
        <v>0</v>
      </c>
      <c r="S554" s="753">
        <v>2261438</v>
      </c>
      <c r="T554" s="753">
        <v>2261438</v>
      </c>
      <c r="U554" s="753">
        <v>253980</v>
      </c>
      <c r="V554" s="751">
        <v>2019</v>
      </c>
      <c r="W554" s="222"/>
      <c r="X554" s="186">
        <f>IF(OR(K554&gt;3,T554=0,NOT(U554&gt;0)),"",T554/U554)</f>
        <v>8.9040003149854314</v>
      </c>
      <c r="Y554" s="86" t="str">
        <f t="shared" si="25"/>
        <v/>
      </c>
      <c r="Z554" s="86" t="str">
        <f t="shared" si="26"/>
        <v/>
      </c>
      <c r="AA554" s="44"/>
      <c r="AB554" s="65"/>
    </row>
    <row r="555" spans="1:28" hidden="1">
      <c r="A555" s="751">
        <v>10494</v>
      </c>
      <c r="B555" s="752" t="s">
        <v>35</v>
      </c>
      <c r="C555" s="751" t="s">
        <v>2960</v>
      </c>
      <c r="D555" s="752" t="s">
        <v>829</v>
      </c>
      <c r="E555" s="752" t="s">
        <v>830</v>
      </c>
      <c r="F555" s="751">
        <v>34612</v>
      </c>
      <c r="G555" s="752" t="s">
        <v>91</v>
      </c>
      <c r="H555" s="752" t="s">
        <v>1245</v>
      </c>
      <c r="I555" s="752" t="s">
        <v>60</v>
      </c>
      <c r="J555" s="751">
        <v>22</v>
      </c>
      <c r="K555" s="751">
        <v>2</v>
      </c>
      <c r="L555" s="752" t="s">
        <v>54</v>
      </c>
      <c r="M555" s="752" t="s">
        <v>37</v>
      </c>
      <c r="N555" s="752" t="s">
        <v>38</v>
      </c>
      <c r="O555" s="752" t="s">
        <v>39</v>
      </c>
      <c r="P555" s="752" t="s">
        <v>1238</v>
      </c>
      <c r="Q555" s="753">
        <v>0</v>
      </c>
      <c r="R555" s="753">
        <v>0</v>
      </c>
      <c r="S555" s="753">
        <v>527322</v>
      </c>
      <c r="T555" s="753">
        <v>527322</v>
      </c>
      <c r="U555" s="753">
        <v>59223</v>
      </c>
      <c r="V555" s="751">
        <v>2019</v>
      </c>
      <c r="W555" s="222"/>
      <c r="X555" s="186"/>
      <c r="Y555" s="86" t="str">
        <f t="shared" si="25"/>
        <v/>
      </c>
      <c r="Z555" s="86" t="str">
        <f t="shared" si="26"/>
        <v/>
      </c>
      <c r="AA555" s="44"/>
      <c r="AB555" s="65"/>
    </row>
    <row r="556" spans="1:28" ht="25" hidden="1">
      <c r="A556" s="751">
        <v>10495</v>
      </c>
      <c r="B556" s="752" t="s">
        <v>56</v>
      </c>
      <c r="C556" s="751" t="s">
        <v>2960</v>
      </c>
      <c r="D556" s="752" t="s">
        <v>93</v>
      </c>
      <c r="E556" s="752" t="s">
        <v>2969</v>
      </c>
      <c r="F556" s="751">
        <v>61813</v>
      </c>
      <c r="G556" s="752" t="s">
        <v>92</v>
      </c>
      <c r="H556" s="752" t="s">
        <v>1245</v>
      </c>
      <c r="I556" s="752" t="s">
        <v>60</v>
      </c>
      <c r="J556" s="751">
        <v>22</v>
      </c>
      <c r="K556" s="751">
        <v>3</v>
      </c>
      <c r="L556" s="752" t="s">
        <v>57</v>
      </c>
      <c r="M556" s="752" t="s">
        <v>44</v>
      </c>
      <c r="N556" s="752" t="s">
        <v>45</v>
      </c>
      <c r="O556" s="752" t="s">
        <v>46</v>
      </c>
      <c r="P556" s="752" t="s">
        <v>47</v>
      </c>
      <c r="Q556" s="753">
        <v>69362</v>
      </c>
      <c r="R556" s="753">
        <v>13197</v>
      </c>
      <c r="S556" s="753">
        <v>1710842</v>
      </c>
      <c r="T556" s="753">
        <v>325521</v>
      </c>
      <c r="U556" s="753">
        <v>60525.192999999999</v>
      </c>
      <c r="V556" s="751">
        <v>2019</v>
      </c>
      <c r="W556" s="222"/>
      <c r="X556" s="186"/>
      <c r="Y556" s="86" t="str">
        <f t="shared" si="25"/>
        <v/>
      </c>
      <c r="Z556" s="86" t="str">
        <f t="shared" si="26"/>
        <v/>
      </c>
      <c r="AA556" s="44"/>
      <c r="AB556" s="65"/>
    </row>
    <row r="557" spans="1:28" ht="25" hidden="1">
      <c r="A557" s="751">
        <v>10495</v>
      </c>
      <c r="B557" s="752" t="s">
        <v>56</v>
      </c>
      <c r="C557" s="751" t="s">
        <v>2960</v>
      </c>
      <c r="D557" s="752" t="s">
        <v>93</v>
      </c>
      <c r="E557" s="752" t="s">
        <v>2969</v>
      </c>
      <c r="F557" s="751">
        <v>61813</v>
      </c>
      <c r="G557" s="752" t="s">
        <v>92</v>
      </c>
      <c r="H557" s="752" t="s">
        <v>1245</v>
      </c>
      <c r="I557" s="752" t="s">
        <v>60</v>
      </c>
      <c r="J557" s="751">
        <v>22</v>
      </c>
      <c r="K557" s="751">
        <v>3</v>
      </c>
      <c r="L557" s="752" t="s">
        <v>57</v>
      </c>
      <c r="M557" s="752" t="s">
        <v>44</v>
      </c>
      <c r="N557" s="752" t="s">
        <v>159</v>
      </c>
      <c r="O557" s="752" t="s">
        <v>72</v>
      </c>
      <c r="P557" s="752" t="s">
        <v>47</v>
      </c>
      <c r="Q557" s="753">
        <v>696051</v>
      </c>
      <c r="R557" s="753">
        <v>133517</v>
      </c>
      <c r="S557" s="753">
        <v>8004589</v>
      </c>
      <c r="T557" s="753">
        <v>1535438</v>
      </c>
      <c r="U557" s="753">
        <v>285880.68</v>
      </c>
      <c r="V557" s="751">
        <v>2019</v>
      </c>
      <c r="W557" s="222"/>
      <c r="X557" s="186">
        <f t="shared" ref="X557:X564" si="28">IF(OR(K557&gt;3,T557=0,NOT(U557&gt;0)),"",T557/U557)</f>
        <v>5.3709050922923511</v>
      </c>
      <c r="Y557" s="86" t="str">
        <f t="shared" si="25"/>
        <v/>
      </c>
      <c r="Z557" s="86" t="str">
        <f t="shared" si="26"/>
        <v/>
      </c>
      <c r="AA557" s="44"/>
      <c r="AB557" s="65"/>
    </row>
    <row r="558" spans="1:28" hidden="1">
      <c r="A558" s="751">
        <v>10495</v>
      </c>
      <c r="B558" s="752" t="s">
        <v>56</v>
      </c>
      <c r="C558" s="751" t="s">
        <v>2960</v>
      </c>
      <c r="D558" s="752" t="s">
        <v>93</v>
      </c>
      <c r="E558" s="752" t="s">
        <v>2969</v>
      </c>
      <c r="F558" s="751">
        <v>61813</v>
      </c>
      <c r="G558" s="752" t="s">
        <v>92</v>
      </c>
      <c r="H558" s="752" t="s">
        <v>1245</v>
      </c>
      <c r="I558" s="752" t="s">
        <v>60</v>
      </c>
      <c r="J558" s="751">
        <v>22</v>
      </c>
      <c r="K558" s="751">
        <v>3</v>
      </c>
      <c r="L558" s="752" t="s">
        <v>57</v>
      </c>
      <c r="M558" s="752" t="s">
        <v>44</v>
      </c>
      <c r="N558" s="752" t="s">
        <v>48</v>
      </c>
      <c r="O558" s="752" t="s">
        <v>48</v>
      </c>
      <c r="P558" s="752" t="s">
        <v>49</v>
      </c>
      <c r="Q558" s="753">
        <v>0</v>
      </c>
      <c r="R558" s="753">
        <v>0</v>
      </c>
      <c r="S558" s="753">
        <v>0</v>
      </c>
      <c r="T558" s="753">
        <v>0</v>
      </c>
      <c r="U558" s="753">
        <v>0</v>
      </c>
      <c r="V558" s="751">
        <v>2019</v>
      </c>
      <c r="W558" s="222"/>
      <c r="X558" s="186" t="str">
        <f t="shared" si="28"/>
        <v/>
      </c>
      <c r="Y558" s="86" t="str">
        <f t="shared" si="25"/>
        <v/>
      </c>
      <c r="Z558" s="86" t="str">
        <f t="shared" si="26"/>
        <v/>
      </c>
      <c r="AA558" s="44"/>
      <c r="AB558" s="65"/>
    </row>
    <row r="559" spans="1:28" hidden="1">
      <c r="A559" s="751">
        <v>10495</v>
      </c>
      <c r="B559" s="752" t="s">
        <v>56</v>
      </c>
      <c r="C559" s="751" t="s">
        <v>2960</v>
      </c>
      <c r="D559" s="752" t="s">
        <v>93</v>
      </c>
      <c r="E559" s="752" t="s">
        <v>2969</v>
      </c>
      <c r="F559" s="751">
        <v>61813</v>
      </c>
      <c r="G559" s="752" t="s">
        <v>92</v>
      </c>
      <c r="H559" s="752" t="s">
        <v>1245</v>
      </c>
      <c r="I559" s="752" t="s">
        <v>60</v>
      </c>
      <c r="J559" s="751">
        <v>22</v>
      </c>
      <c r="K559" s="751">
        <v>3</v>
      </c>
      <c r="L559" s="752" t="s">
        <v>57</v>
      </c>
      <c r="M559" s="752" t="s">
        <v>44</v>
      </c>
      <c r="N559" s="752" t="s">
        <v>63</v>
      </c>
      <c r="O559" s="752" t="s">
        <v>63</v>
      </c>
      <c r="P559" s="752" t="s">
        <v>49</v>
      </c>
      <c r="Q559" s="753">
        <v>45645</v>
      </c>
      <c r="R559" s="753">
        <v>8531</v>
      </c>
      <c r="S559" s="753">
        <v>285281</v>
      </c>
      <c r="T559" s="753">
        <v>53329</v>
      </c>
      <c r="U559" s="753">
        <v>9941.1319999999996</v>
      </c>
      <c r="V559" s="751">
        <v>2019</v>
      </c>
      <c r="W559" s="222"/>
      <c r="X559" s="186">
        <f t="shared" si="28"/>
        <v>5.3644796186188861</v>
      </c>
      <c r="Y559" s="178" t="str">
        <f t="shared" si="25"/>
        <v/>
      </c>
      <c r="Z559" s="178" t="str">
        <f t="shared" si="26"/>
        <v/>
      </c>
      <c r="AA559" s="44"/>
      <c r="AB559" s="65"/>
    </row>
    <row r="560" spans="1:28" ht="25" hidden="1">
      <c r="A560" s="751">
        <v>10495</v>
      </c>
      <c r="B560" s="752" t="s">
        <v>56</v>
      </c>
      <c r="C560" s="751" t="s">
        <v>2960</v>
      </c>
      <c r="D560" s="752" t="s">
        <v>93</v>
      </c>
      <c r="E560" s="752" t="s">
        <v>2969</v>
      </c>
      <c r="F560" s="751">
        <v>61813</v>
      </c>
      <c r="G560" s="752" t="s">
        <v>92</v>
      </c>
      <c r="H560" s="752" t="s">
        <v>1245</v>
      </c>
      <c r="I560" s="752" t="s">
        <v>60</v>
      </c>
      <c r="J560" s="751">
        <v>22</v>
      </c>
      <c r="K560" s="751">
        <v>3</v>
      </c>
      <c r="L560" s="752" t="s">
        <v>57</v>
      </c>
      <c r="M560" s="752" t="s">
        <v>44</v>
      </c>
      <c r="N560" s="752" t="s">
        <v>160</v>
      </c>
      <c r="O560" s="752" t="s">
        <v>51</v>
      </c>
      <c r="P560" s="752" t="s">
        <v>47</v>
      </c>
      <c r="Q560" s="753">
        <v>26719</v>
      </c>
      <c r="R560" s="753">
        <v>5132</v>
      </c>
      <c r="S560" s="753">
        <v>112763</v>
      </c>
      <c r="T560" s="753">
        <v>21674</v>
      </c>
      <c r="U560" s="753">
        <v>4035.8850000000002</v>
      </c>
      <c r="V560" s="751">
        <v>2019</v>
      </c>
      <c r="W560" s="222"/>
      <c r="X560" s="186">
        <f t="shared" si="28"/>
        <v>5.3703215032142886</v>
      </c>
      <c r="Y560" s="178" t="str">
        <f t="shared" si="25"/>
        <v/>
      </c>
      <c r="Z560" s="178" t="str">
        <f t="shared" si="26"/>
        <v/>
      </c>
      <c r="AA560" s="44"/>
      <c r="AB560" s="65"/>
    </row>
    <row r="561" spans="1:28" ht="25" hidden="1">
      <c r="A561" s="751">
        <v>10495</v>
      </c>
      <c r="B561" s="752" t="s">
        <v>56</v>
      </c>
      <c r="C561" s="751" t="s">
        <v>2960</v>
      </c>
      <c r="D561" s="752" t="s">
        <v>93</v>
      </c>
      <c r="E561" s="752" t="s">
        <v>2969</v>
      </c>
      <c r="F561" s="751">
        <v>61813</v>
      </c>
      <c r="G561" s="752" t="s">
        <v>92</v>
      </c>
      <c r="H561" s="752" t="s">
        <v>1245</v>
      </c>
      <c r="I561" s="752" t="s">
        <v>60</v>
      </c>
      <c r="J561" s="751">
        <v>22</v>
      </c>
      <c r="K561" s="751">
        <v>3</v>
      </c>
      <c r="L561" s="752" t="s">
        <v>57</v>
      </c>
      <c r="M561" s="752" t="s">
        <v>44</v>
      </c>
      <c r="N561" s="752" t="s">
        <v>410</v>
      </c>
      <c r="O561" s="752" t="s">
        <v>84</v>
      </c>
      <c r="P561" s="752" t="s">
        <v>47</v>
      </c>
      <c r="Q561" s="753">
        <v>113203</v>
      </c>
      <c r="R561" s="753">
        <v>21732</v>
      </c>
      <c r="S561" s="753">
        <v>3388853</v>
      </c>
      <c r="T561" s="753">
        <v>650586</v>
      </c>
      <c r="U561" s="753">
        <v>121240.75</v>
      </c>
      <c r="V561" s="751">
        <v>2019</v>
      </c>
      <c r="W561" s="222"/>
      <c r="X561" s="186">
        <f t="shared" si="28"/>
        <v>5.3660671020263404</v>
      </c>
      <c r="Y561" s="178" t="str">
        <f t="shared" si="25"/>
        <v/>
      </c>
      <c r="Z561" s="178" t="str">
        <f t="shared" si="26"/>
        <v/>
      </c>
      <c r="AA561" s="44"/>
      <c r="AB561" s="65"/>
    </row>
    <row r="562" spans="1:28" ht="25" hidden="1">
      <c r="A562" s="751">
        <v>10495</v>
      </c>
      <c r="B562" s="752" t="s">
        <v>56</v>
      </c>
      <c r="C562" s="751" t="s">
        <v>2960</v>
      </c>
      <c r="D562" s="752" t="s">
        <v>93</v>
      </c>
      <c r="E562" s="752" t="s">
        <v>2969</v>
      </c>
      <c r="F562" s="751">
        <v>61813</v>
      </c>
      <c r="G562" s="752" t="s">
        <v>92</v>
      </c>
      <c r="H562" s="752" t="s">
        <v>1245</v>
      </c>
      <c r="I562" s="752" t="s">
        <v>60</v>
      </c>
      <c r="J562" s="751">
        <v>22</v>
      </c>
      <c r="K562" s="751">
        <v>3</v>
      </c>
      <c r="L562" s="752" t="s">
        <v>57</v>
      </c>
      <c r="M562" s="752" t="s">
        <v>44</v>
      </c>
      <c r="N562" s="752" t="s">
        <v>71</v>
      </c>
      <c r="O562" s="752" t="s">
        <v>72</v>
      </c>
      <c r="P562" s="752" t="s">
        <v>47</v>
      </c>
      <c r="Q562" s="753">
        <v>260568</v>
      </c>
      <c r="R562" s="753">
        <v>49538</v>
      </c>
      <c r="S562" s="753">
        <v>2214830</v>
      </c>
      <c r="T562" s="753">
        <v>421075</v>
      </c>
      <c r="U562" s="753">
        <v>78377.361999999994</v>
      </c>
      <c r="V562" s="751">
        <v>2019</v>
      </c>
      <c r="W562" s="222"/>
      <c r="X562" s="186">
        <f t="shared" si="28"/>
        <v>5.3724058740328617</v>
      </c>
      <c r="Y562" s="178" t="str">
        <f t="shared" si="25"/>
        <v/>
      </c>
      <c r="Z562" s="178" t="str">
        <f t="shared" si="26"/>
        <v/>
      </c>
      <c r="AA562" s="44"/>
      <c r="AB562" s="65"/>
    </row>
    <row r="563" spans="1:28" ht="25" hidden="1">
      <c r="A563" s="751">
        <v>10503</v>
      </c>
      <c r="B563" s="752" t="s">
        <v>35</v>
      </c>
      <c r="C563" s="751" t="s">
        <v>2960</v>
      </c>
      <c r="D563" s="752" t="s">
        <v>831</v>
      </c>
      <c r="E563" s="752" t="s">
        <v>94</v>
      </c>
      <c r="F563" s="751">
        <v>20541</v>
      </c>
      <c r="G563" s="752" t="s">
        <v>59</v>
      </c>
      <c r="H563" s="752" t="s">
        <v>1244</v>
      </c>
      <c r="I563" s="752" t="s">
        <v>60</v>
      </c>
      <c r="J563" s="751">
        <v>22</v>
      </c>
      <c r="K563" s="751">
        <v>2</v>
      </c>
      <c r="L563" s="752" t="s">
        <v>54</v>
      </c>
      <c r="M563" s="752" t="s">
        <v>44</v>
      </c>
      <c r="N563" s="752" t="s">
        <v>18</v>
      </c>
      <c r="O563" s="752" t="s">
        <v>66</v>
      </c>
      <c r="P563" s="752" t="s">
        <v>47</v>
      </c>
      <c r="Q563" s="753">
        <v>92858</v>
      </c>
      <c r="R563" s="753">
        <v>92858</v>
      </c>
      <c r="S563" s="753">
        <v>712397</v>
      </c>
      <c r="T563" s="753">
        <v>712397</v>
      </c>
      <c r="U563" s="753">
        <v>34440.286</v>
      </c>
      <c r="V563" s="751">
        <v>2019</v>
      </c>
      <c r="W563" s="222"/>
      <c r="X563" s="186">
        <f t="shared" si="28"/>
        <v>20.684990827311946</v>
      </c>
      <c r="Y563" s="178" t="str">
        <f t="shared" si="25"/>
        <v/>
      </c>
      <c r="Z563" s="178" t="str">
        <f t="shared" si="26"/>
        <v/>
      </c>
      <c r="AA563" s="44"/>
      <c r="AB563" s="65"/>
    </row>
    <row r="564" spans="1:28" ht="25" hidden="1">
      <c r="A564" s="751">
        <v>10503</v>
      </c>
      <c r="B564" s="752" t="s">
        <v>35</v>
      </c>
      <c r="C564" s="751" t="s">
        <v>2960</v>
      </c>
      <c r="D564" s="752" t="s">
        <v>831</v>
      </c>
      <c r="E564" s="752" t="s">
        <v>94</v>
      </c>
      <c r="F564" s="751">
        <v>20541</v>
      </c>
      <c r="G564" s="752" t="s">
        <v>59</v>
      </c>
      <c r="H564" s="752" t="s">
        <v>1244</v>
      </c>
      <c r="I564" s="752" t="s">
        <v>60</v>
      </c>
      <c r="J564" s="751">
        <v>22</v>
      </c>
      <c r="K564" s="751">
        <v>2</v>
      </c>
      <c r="L564" s="752" t="s">
        <v>54</v>
      </c>
      <c r="M564" s="752" t="s">
        <v>44</v>
      </c>
      <c r="N564" s="752" t="s">
        <v>19</v>
      </c>
      <c r="O564" s="752" t="s">
        <v>84</v>
      </c>
      <c r="P564" s="752" t="s">
        <v>47</v>
      </c>
      <c r="Q564" s="753">
        <v>59365</v>
      </c>
      <c r="R564" s="753">
        <v>59365</v>
      </c>
      <c r="S564" s="753">
        <v>870701</v>
      </c>
      <c r="T564" s="753">
        <v>870701</v>
      </c>
      <c r="U564" s="753">
        <v>42093.474999999999</v>
      </c>
      <c r="V564" s="751">
        <v>2019</v>
      </c>
      <c r="W564" s="222"/>
      <c r="X564" s="186">
        <f t="shared" si="28"/>
        <v>20.684939886763924</v>
      </c>
      <c r="Y564" s="178" t="str">
        <f t="shared" si="25"/>
        <v/>
      </c>
      <c r="Z564" s="178" t="str">
        <f t="shared" si="26"/>
        <v/>
      </c>
      <c r="AA564" s="44"/>
      <c r="AB564" s="65"/>
    </row>
    <row r="565" spans="1:28" ht="25" hidden="1">
      <c r="A565" s="751">
        <v>10503</v>
      </c>
      <c r="B565" s="752" t="s">
        <v>35</v>
      </c>
      <c r="C565" s="751" t="s">
        <v>2960</v>
      </c>
      <c r="D565" s="752" t="s">
        <v>831</v>
      </c>
      <c r="E565" s="752" t="s">
        <v>94</v>
      </c>
      <c r="F565" s="751">
        <v>20541</v>
      </c>
      <c r="G565" s="752" t="s">
        <v>59</v>
      </c>
      <c r="H565" s="752" t="s">
        <v>1244</v>
      </c>
      <c r="I565" s="752" t="s">
        <v>60</v>
      </c>
      <c r="J565" s="751">
        <v>22</v>
      </c>
      <c r="K565" s="751">
        <v>2</v>
      </c>
      <c r="L565" s="752" t="s">
        <v>54</v>
      </c>
      <c r="M565" s="752" t="s">
        <v>44</v>
      </c>
      <c r="N565" s="752" t="s">
        <v>41</v>
      </c>
      <c r="O565" s="752" t="s">
        <v>41</v>
      </c>
      <c r="P565" s="752" t="s">
        <v>1091</v>
      </c>
      <c r="Q565" s="753">
        <v>527</v>
      </c>
      <c r="R565" s="753">
        <v>527</v>
      </c>
      <c r="S565" s="753">
        <v>527</v>
      </c>
      <c r="T565" s="753">
        <v>527</v>
      </c>
      <c r="U565" s="753">
        <v>25.239000000000001</v>
      </c>
      <c r="V565" s="751">
        <v>2019</v>
      </c>
      <c r="W565" s="222"/>
      <c r="X565" s="186"/>
      <c r="Y565" s="178" t="str">
        <f t="shared" si="25"/>
        <v/>
      </c>
      <c r="Z565" s="178" t="str">
        <f t="shared" si="26"/>
        <v/>
      </c>
      <c r="AA565" s="44"/>
      <c r="AB565" s="65"/>
    </row>
    <row r="566" spans="1:28" hidden="1">
      <c r="A566" s="751">
        <v>10511</v>
      </c>
      <c r="B566" s="752" t="s">
        <v>56</v>
      </c>
      <c r="C566" s="751" t="s">
        <v>2960</v>
      </c>
      <c r="D566" s="752" t="s">
        <v>425</v>
      </c>
      <c r="E566" s="752" t="s">
        <v>426</v>
      </c>
      <c r="F566" s="751">
        <v>56174</v>
      </c>
      <c r="G566" s="752" t="s">
        <v>59</v>
      </c>
      <c r="H566" s="752" t="s">
        <v>1244</v>
      </c>
      <c r="I566" s="752" t="s">
        <v>60</v>
      </c>
      <c r="J566" s="751">
        <v>322122</v>
      </c>
      <c r="K566" s="751">
        <v>7</v>
      </c>
      <c r="L566" s="752" t="s">
        <v>419</v>
      </c>
      <c r="M566" s="752" t="s">
        <v>44</v>
      </c>
      <c r="N566" s="752" t="s">
        <v>41</v>
      </c>
      <c r="O566" s="752" t="s">
        <v>41</v>
      </c>
      <c r="P566" s="752" t="s">
        <v>1091</v>
      </c>
      <c r="Q566" s="753">
        <v>1792769</v>
      </c>
      <c r="R566" s="753">
        <v>195839</v>
      </c>
      <c r="S566" s="753">
        <v>1846552</v>
      </c>
      <c r="T566" s="753">
        <v>201713</v>
      </c>
      <c r="U566" s="753">
        <v>39172.682999999997</v>
      </c>
      <c r="V566" s="751">
        <v>2019</v>
      </c>
      <c r="W566" s="222"/>
      <c r="X566" s="186" t="str">
        <f>IF(OR(K566&gt;3,T566=0,NOT(U566&gt;0)),"",T566/U566)</f>
        <v/>
      </c>
      <c r="Y566" s="178" t="str">
        <f t="shared" si="25"/>
        <v/>
      </c>
      <c r="Z566" s="178" t="str">
        <f t="shared" si="26"/>
        <v/>
      </c>
      <c r="AA566" s="44"/>
      <c r="AB566" s="65"/>
    </row>
    <row r="567" spans="1:28" hidden="1">
      <c r="A567" s="751">
        <v>10511</v>
      </c>
      <c r="B567" s="752" t="s">
        <v>56</v>
      </c>
      <c r="C567" s="751" t="s">
        <v>2960</v>
      </c>
      <c r="D567" s="752" t="s">
        <v>425</v>
      </c>
      <c r="E567" s="752" t="s">
        <v>426</v>
      </c>
      <c r="F567" s="751">
        <v>56174</v>
      </c>
      <c r="G567" s="752" t="s">
        <v>59</v>
      </c>
      <c r="H567" s="752" t="s">
        <v>1244</v>
      </c>
      <c r="I567" s="752" t="s">
        <v>60</v>
      </c>
      <c r="J567" s="751">
        <v>322122</v>
      </c>
      <c r="K567" s="751">
        <v>7</v>
      </c>
      <c r="L567" s="752" t="s">
        <v>419</v>
      </c>
      <c r="M567" s="752" t="s">
        <v>44</v>
      </c>
      <c r="N567" s="752" t="s">
        <v>63</v>
      </c>
      <c r="O567" s="752" t="s">
        <v>63</v>
      </c>
      <c r="P567" s="752" t="s">
        <v>49</v>
      </c>
      <c r="Q567" s="753">
        <v>0</v>
      </c>
      <c r="R567" s="753">
        <v>0</v>
      </c>
      <c r="S567" s="753">
        <v>0</v>
      </c>
      <c r="T567" s="753">
        <v>0</v>
      </c>
      <c r="U567" s="753">
        <v>0</v>
      </c>
      <c r="V567" s="751">
        <v>2019</v>
      </c>
      <c r="W567" s="222"/>
      <c r="X567" s="186" t="str">
        <f>IF(OR(K567&gt;3,T567=0,NOT(U567&gt;0)),"",T567/U567)</f>
        <v/>
      </c>
      <c r="Y567" s="86" t="str">
        <f t="shared" si="25"/>
        <v/>
      </c>
      <c r="Z567" s="86" t="str">
        <f t="shared" si="26"/>
        <v/>
      </c>
      <c r="AA567" s="44"/>
      <c r="AB567" s="65"/>
    </row>
    <row r="568" spans="1:28" hidden="1">
      <c r="A568" s="751">
        <v>10511</v>
      </c>
      <c r="B568" s="752" t="s">
        <v>56</v>
      </c>
      <c r="C568" s="751" t="s">
        <v>2960</v>
      </c>
      <c r="D568" s="752" t="s">
        <v>425</v>
      </c>
      <c r="E568" s="752" t="s">
        <v>426</v>
      </c>
      <c r="F568" s="751">
        <v>56174</v>
      </c>
      <c r="G568" s="752" t="s">
        <v>59</v>
      </c>
      <c r="H568" s="752" t="s">
        <v>1244</v>
      </c>
      <c r="I568" s="752" t="s">
        <v>60</v>
      </c>
      <c r="J568" s="751">
        <v>322122</v>
      </c>
      <c r="K568" s="751">
        <v>7</v>
      </c>
      <c r="L568" s="752" t="s">
        <v>419</v>
      </c>
      <c r="M568" s="752" t="s">
        <v>44</v>
      </c>
      <c r="N568" s="752" t="s">
        <v>427</v>
      </c>
      <c r="O568" s="752" t="s">
        <v>72</v>
      </c>
      <c r="P568" s="752" t="s">
        <v>49</v>
      </c>
      <c r="Q568" s="753">
        <v>1519220</v>
      </c>
      <c r="R568" s="753">
        <v>165237</v>
      </c>
      <c r="S568" s="753">
        <v>3190364</v>
      </c>
      <c r="T568" s="753">
        <v>346998</v>
      </c>
      <c r="U568" s="753">
        <v>67386.81</v>
      </c>
      <c r="V568" s="751">
        <v>2019</v>
      </c>
      <c r="W568" s="222"/>
      <c r="X568" s="186" t="str">
        <f>IF(OR(K568&gt;3,T568=0,NOT(U568&gt;0)),"",T568/U568)</f>
        <v/>
      </c>
      <c r="Y568" s="86" t="str">
        <f t="shared" si="25"/>
        <v/>
      </c>
      <c r="Z568" s="86" t="str">
        <f t="shared" si="26"/>
        <v/>
      </c>
      <c r="AA568" s="44"/>
      <c r="AB568" s="65"/>
    </row>
    <row r="569" spans="1:28" ht="25" hidden="1">
      <c r="A569" s="751">
        <v>10511</v>
      </c>
      <c r="B569" s="752" t="s">
        <v>56</v>
      </c>
      <c r="C569" s="751" t="s">
        <v>2960</v>
      </c>
      <c r="D569" s="752" t="s">
        <v>425</v>
      </c>
      <c r="E569" s="752" t="s">
        <v>426</v>
      </c>
      <c r="F569" s="751">
        <v>56174</v>
      </c>
      <c r="G569" s="752" t="s">
        <v>59</v>
      </c>
      <c r="H569" s="752" t="s">
        <v>1244</v>
      </c>
      <c r="I569" s="752" t="s">
        <v>60</v>
      </c>
      <c r="J569" s="751">
        <v>322122</v>
      </c>
      <c r="K569" s="751">
        <v>7</v>
      </c>
      <c r="L569" s="752" t="s">
        <v>419</v>
      </c>
      <c r="M569" s="752" t="s">
        <v>44</v>
      </c>
      <c r="N569" s="752" t="s">
        <v>71</v>
      </c>
      <c r="O569" s="752" t="s">
        <v>72</v>
      </c>
      <c r="P569" s="752" t="s">
        <v>47</v>
      </c>
      <c r="Q569" s="753">
        <v>152270</v>
      </c>
      <c r="R569" s="753">
        <v>16589</v>
      </c>
      <c r="S569" s="753">
        <v>1157252</v>
      </c>
      <c r="T569" s="753">
        <v>126060</v>
      </c>
      <c r="U569" s="753">
        <v>24481.125</v>
      </c>
      <c r="V569" s="751">
        <v>2019</v>
      </c>
      <c r="W569" s="222"/>
      <c r="X569" s="186" t="str">
        <f>IF(OR(K569&gt;3,T569=0,NOT(U569&gt;0)),"",T569/U569)</f>
        <v/>
      </c>
      <c r="Y569" s="86" t="str">
        <f t="shared" si="25"/>
        <v/>
      </c>
      <c r="Z569" s="86" t="str">
        <f t="shared" si="26"/>
        <v/>
      </c>
      <c r="AA569" s="44"/>
      <c r="AB569" s="65"/>
    </row>
    <row r="570" spans="1:28" hidden="1">
      <c r="A570" s="751">
        <v>10519</v>
      </c>
      <c r="B570" s="752" t="s">
        <v>35</v>
      </c>
      <c r="C570" s="751" t="s">
        <v>2960</v>
      </c>
      <c r="D570" s="752" t="s">
        <v>1933</v>
      </c>
      <c r="E570" s="752" t="s">
        <v>1934</v>
      </c>
      <c r="F570" s="751">
        <v>16498</v>
      </c>
      <c r="G570" s="752" t="s">
        <v>98</v>
      </c>
      <c r="H570" s="752" t="s">
        <v>1245</v>
      </c>
      <c r="I570" s="752" t="s">
        <v>60</v>
      </c>
      <c r="J570" s="751">
        <v>22</v>
      </c>
      <c r="K570" s="751">
        <v>2</v>
      </c>
      <c r="L570" s="752" t="s">
        <v>54</v>
      </c>
      <c r="M570" s="752" t="s">
        <v>37</v>
      </c>
      <c r="N570" s="752" t="s">
        <v>38</v>
      </c>
      <c r="O570" s="752" t="s">
        <v>39</v>
      </c>
      <c r="P570" s="752" t="s">
        <v>1238</v>
      </c>
      <c r="Q570" s="753">
        <v>0</v>
      </c>
      <c r="R570" s="753">
        <v>0</v>
      </c>
      <c r="S570" s="753">
        <v>61448</v>
      </c>
      <c r="T570" s="753">
        <v>61448</v>
      </c>
      <c r="U570" s="753">
        <v>6901</v>
      </c>
      <c r="V570" s="751">
        <v>2019</v>
      </c>
      <c r="W570" s="222"/>
      <c r="X570" s="186"/>
      <c r="Y570" s="86" t="str">
        <f t="shared" si="25"/>
        <v/>
      </c>
      <c r="Z570" s="86" t="str">
        <f t="shared" si="26"/>
        <v/>
      </c>
      <c r="AA570" s="44"/>
      <c r="AB570" s="65"/>
    </row>
    <row r="571" spans="1:28" ht="25" hidden="1">
      <c r="A571" s="751">
        <v>10521</v>
      </c>
      <c r="B571" s="752" t="s">
        <v>56</v>
      </c>
      <c r="C571" s="751" t="s">
        <v>2960</v>
      </c>
      <c r="D571" s="752" t="s">
        <v>832</v>
      </c>
      <c r="E571" s="752" t="s">
        <v>2014</v>
      </c>
      <c r="F571" s="751">
        <v>60641</v>
      </c>
      <c r="G571" s="752" t="s">
        <v>59</v>
      </c>
      <c r="H571" s="752" t="s">
        <v>1244</v>
      </c>
      <c r="I571" s="752" t="s">
        <v>60</v>
      </c>
      <c r="J571" s="751">
        <v>325</v>
      </c>
      <c r="K571" s="751">
        <v>7</v>
      </c>
      <c r="L571" s="752" t="s">
        <v>419</v>
      </c>
      <c r="M571" s="752" t="s">
        <v>40</v>
      </c>
      <c r="N571" s="752" t="s">
        <v>48</v>
      </c>
      <c r="O571" s="752" t="s">
        <v>48</v>
      </c>
      <c r="P571" s="752" t="s">
        <v>49</v>
      </c>
      <c r="Q571" s="753">
        <v>138900</v>
      </c>
      <c r="R571" s="753">
        <v>1090</v>
      </c>
      <c r="S571" s="753">
        <v>805620</v>
      </c>
      <c r="T571" s="753">
        <v>6324</v>
      </c>
      <c r="U571" s="753">
        <v>1078.5250000000001</v>
      </c>
      <c r="V571" s="751">
        <v>2019</v>
      </c>
      <c r="W571" s="222"/>
      <c r="X571" s="186"/>
      <c r="Y571" s="178" t="str">
        <f t="shared" si="25"/>
        <v/>
      </c>
      <c r="Z571" s="178" t="str">
        <f t="shared" si="26"/>
        <v/>
      </c>
      <c r="AA571" s="44"/>
      <c r="AB571" s="65"/>
    </row>
    <row r="572" spans="1:28" ht="25" hidden="1">
      <c r="A572" s="751">
        <v>10521</v>
      </c>
      <c r="B572" s="752" t="s">
        <v>56</v>
      </c>
      <c r="C572" s="751" t="s">
        <v>2960</v>
      </c>
      <c r="D572" s="752" t="s">
        <v>832</v>
      </c>
      <c r="E572" s="752" t="s">
        <v>2014</v>
      </c>
      <c r="F572" s="751">
        <v>60641</v>
      </c>
      <c r="G572" s="752" t="s">
        <v>59</v>
      </c>
      <c r="H572" s="752" t="s">
        <v>1244</v>
      </c>
      <c r="I572" s="752" t="s">
        <v>60</v>
      </c>
      <c r="J572" s="751">
        <v>325</v>
      </c>
      <c r="K572" s="751">
        <v>7</v>
      </c>
      <c r="L572" s="752" t="s">
        <v>419</v>
      </c>
      <c r="M572" s="752" t="s">
        <v>40</v>
      </c>
      <c r="N572" s="752" t="s">
        <v>41</v>
      </c>
      <c r="O572" s="752" t="s">
        <v>41</v>
      </c>
      <c r="P572" s="752" t="s">
        <v>1091</v>
      </c>
      <c r="Q572" s="753">
        <v>427024</v>
      </c>
      <c r="R572" s="753">
        <v>51892</v>
      </c>
      <c r="S572" s="753">
        <v>427024</v>
      </c>
      <c r="T572" s="753">
        <v>51892</v>
      </c>
      <c r="U572" s="753">
        <v>8851.3649999999998</v>
      </c>
      <c r="V572" s="751">
        <v>2019</v>
      </c>
      <c r="W572" s="222"/>
      <c r="X572" s="186"/>
      <c r="Y572" s="178" t="str">
        <f t="shared" si="25"/>
        <v/>
      </c>
      <c r="Z572" s="178" t="str">
        <f t="shared" si="26"/>
        <v/>
      </c>
      <c r="AA572" s="44"/>
      <c r="AB572" s="65"/>
    </row>
    <row r="573" spans="1:28" ht="25" hidden="1">
      <c r="A573" s="751">
        <v>10521</v>
      </c>
      <c r="B573" s="752" t="s">
        <v>56</v>
      </c>
      <c r="C573" s="751" t="s">
        <v>2960</v>
      </c>
      <c r="D573" s="752" t="s">
        <v>832</v>
      </c>
      <c r="E573" s="752" t="s">
        <v>2014</v>
      </c>
      <c r="F573" s="751">
        <v>60641</v>
      </c>
      <c r="G573" s="752" t="s">
        <v>59</v>
      </c>
      <c r="H573" s="752" t="s">
        <v>1244</v>
      </c>
      <c r="I573" s="752" t="s">
        <v>60</v>
      </c>
      <c r="J573" s="751">
        <v>325</v>
      </c>
      <c r="K573" s="751">
        <v>7</v>
      </c>
      <c r="L573" s="752" t="s">
        <v>419</v>
      </c>
      <c r="M573" s="752" t="s">
        <v>43</v>
      </c>
      <c r="N573" s="752" t="s">
        <v>48</v>
      </c>
      <c r="O573" s="752" t="s">
        <v>48</v>
      </c>
      <c r="P573" s="752" t="s">
        <v>49</v>
      </c>
      <c r="Q573" s="753">
        <v>0</v>
      </c>
      <c r="R573" s="753">
        <v>0</v>
      </c>
      <c r="S573" s="753">
        <v>0</v>
      </c>
      <c r="T573" s="753">
        <v>0</v>
      </c>
      <c r="U573" s="753">
        <v>0</v>
      </c>
      <c r="V573" s="751">
        <v>2019</v>
      </c>
      <c r="W573" s="222"/>
      <c r="X573" s="186"/>
      <c r="Y573" s="178" t="str">
        <f t="shared" si="25"/>
        <v/>
      </c>
      <c r="Z573" s="178" t="str">
        <f t="shared" si="26"/>
        <v/>
      </c>
      <c r="AA573" s="44"/>
      <c r="AB573" s="65"/>
    </row>
    <row r="574" spans="1:28" ht="25" hidden="1">
      <c r="A574" s="751">
        <v>10521</v>
      </c>
      <c r="B574" s="752" t="s">
        <v>56</v>
      </c>
      <c r="C574" s="751" t="s">
        <v>2960</v>
      </c>
      <c r="D574" s="752" t="s">
        <v>832</v>
      </c>
      <c r="E574" s="752" t="s">
        <v>2014</v>
      </c>
      <c r="F574" s="751">
        <v>60641</v>
      </c>
      <c r="G574" s="752" t="s">
        <v>59</v>
      </c>
      <c r="H574" s="752" t="s">
        <v>1244</v>
      </c>
      <c r="I574" s="752" t="s">
        <v>60</v>
      </c>
      <c r="J574" s="751">
        <v>325</v>
      </c>
      <c r="K574" s="751">
        <v>7</v>
      </c>
      <c r="L574" s="752" t="s">
        <v>419</v>
      </c>
      <c r="M574" s="752" t="s">
        <v>43</v>
      </c>
      <c r="N574" s="752" t="s">
        <v>41</v>
      </c>
      <c r="O574" s="752" t="s">
        <v>41</v>
      </c>
      <c r="P574" s="752" t="s">
        <v>1091</v>
      </c>
      <c r="Q574" s="753">
        <v>1339381</v>
      </c>
      <c r="R574" s="753">
        <v>634812</v>
      </c>
      <c r="S574" s="753">
        <v>1339381</v>
      </c>
      <c r="T574" s="753">
        <v>634812</v>
      </c>
      <c r="U574" s="753">
        <v>108870.86</v>
      </c>
      <c r="V574" s="751">
        <v>2019</v>
      </c>
      <c r="W574" s="222"/>
      <c r="X574" s="186"/>
      <c r="Y574" s="178" t="str">
        <f t="shared" si="25"/>
        <v/>
      </c>
      <c r="Z574" s="178" t="str">
        <f t="shared" si="26"/>
        <v/>
      </c>
      <c r="AA574" s="44"/>
      <c r="AB574" s="65"/>
    </row>
    <row r="575" spans="1:28" hidden="1">
      <c r="A575" s="751">
        <v>10523</v>
      </c>
      <c r="B575" s="752" t="s">
        <v>35</v>
      </c>
      <c r="C575" s="751" t="s">
        <v>2960</v>
      </c>
      <c r="D575" s="752" t="s">
        <v>833</v>
      </c>
      <c r="E575" s="752" t="s">
        <v>834</v>
      </c>
      <c r="F575" s="751">
        <v>55753</v>
      </c>
      <c r="G575" s="752" t="s">
        <v>92</v>
      </c>
      <c r="H575" s="752" t="s">
        <v>1245</v>
      </c>
      <c r="I575" s="752" t="s">
        <v>60</v>
      </c>
      <c r="J575" s="751">
        <v>22</v>
      </c>
      <c r="K575" s="751">
        <v>2</v>
      </c>
      <c r="L575" s="752" t="s">
        <v>54</v>
      </c>
      <c r="M575" s="752" t="s">
        <v>37</v>
      </c>
      <c r="N575" s="752" t="s">
        <v>38</v>
      </c>
      <c r="O575" s="752" t="s">
        <v>39</v>
      </c>
      <c r="P575" s="752" t="s">
        <v>1238</v>
      </c>
      <c r="Q575" s="753">
        <v>0</v>
      </c>
      <c r="R575" s="753">
        <v>0</v>
      </c>
      <c r="S575" s="753">
        <v>173940</v>
      </c>
      <c r="T575" s="753">
        <v>173940</v>
      </c>
      <c r="U575" s="753">
        <v>19535</v>
      </c>
      <c r="V575" s="751">
        <v>2019</v>
      </c>
      <c r="W575" s="222"/>
      <c r="X575" s="186"/>
      <c r="Y575" s="178" t="str">
        <f t="shared" si="25"/>
        <v/>
      </c>
      <c r="Z575" s="178" t="str">
        <f t="shared" si="26"/>
        <v/>
      </c>
      <c r="AA575" s="44"/>
      <c r="AB575" s="65"/>
    </row>
    <row r="576" spans="1:28" hidden="1">
      <c r="A576" s="751">
        <v>10526</v>
      </c>
      <c r="B576" s="752" t="s">
        <v>35</v>
      </c>
      <c r="C576" s="751" t="s">
        <v>2960</v>
      </c>
      <c r="D576" s="752" t="s">
        <v>835</v>
      </c>
      <c r="E576" s="752" t="s">
        <v>836</v>
      </c>
      <c r="F576" s="751">
        <v>5226</v>
      </c>
      <c r="G576" s="752" t="s">
        <v>98</v>
      </c>
      <c r="H576" s="752" t="s">
        <v>1245</v>
      </c>
      <c r="I576" s="752" t="s">
        <v>60</v>
      </c>
      <c r="J576" s="751">
        <v>22</v>
      </c>
      <c r="K576" s="751">
        <v>2</v>
      </c>
      <c r="L576" s="752" t="s">
        <v>54</v>
      </c>
      <c r="M576" s="752" t="s">
        <v>37</v>
      </c>
      <c r="N576" s="752" t="s">
        <v>38</v>
      </c>
      <c r="O576" s="752" t="s">
        <v>39</v>
      </c>
      <c r="P576" s="752" t="s">
        <v>1238</v>
      </c>
      <c r="Q576" s="753">
        <v>0</v>
      </c>
      <c r="R576" s="753">
        <v>0</v>
      </c>
      <c r="S576" s="753">
        <v>249570</v>
      </c>
      <c r="T576" s="753">
        <v>249570</v>
      </c>
      <c r="U576" s="753">
        <v>28029</v>
      </c>
      <c r="V576" s="751">
        <v>2019</v>
      </c>
      <c r="W576" s="222"/>
      <c r="X576" s="186"/>
      <c r="Y576" s="178" t="str">
        <f t="shared" si="25"/>
        <v/>
      </c>
      <c r="Z576" s="178" t="str">
        <f t="shared" si="26"/>
        <v/>
      </c>
      <c r="AA576" s="44"/>
      <c r="AB576" s="65"/>
    </row>
    <row r="577" spans="1:28" hidden="1">
      <c r="A577" s="751">
        <v>10530</v>
      </c>
      <c r="B577" s="752" t="s">
        <v>35</v>
      </c>
      <c r="C577" s="751" t="s">
        <v>2960</v>
      </c>
      <c r="D577" s="752" t="s">
        <v>837</v>
      </c>
      <c r="E577" s="752" t="s">
        <v>123</v>
      </c>
      <c r="F577" s="751">
        <v>5914</v>
      </c>
      <c r="G577" s="752" t="s">
        <v>59</v>
      </c>
      <c r="H577" s="752" t="s">
        <v>1244</v>
      </c>
      <c r="I577" s="752" t="s">
        <v>60</v>
      </c>
      <c r="J577" s="751">
        <v>22</v>
      </c>
      <c r="K577" s="751">
        <v>2</v>
      </c>
      <c r="L577" s="752" t="s">
        <v>54</v>
      </c>
      <c r="M577" s="752" t="s">
        <v>37</v>
      </c>
      <c r="N577" s="752" t="s">
        <v>38</v>
      </c>
      <c r="O577" s="752" t="s">
        <v>39</v>
      </c>
      <c r="P577" s="752" t="s">
        <v>1238</v>
      </c>
      <c r="Q577" s="753">
        <v>0</v>
      </c>
      <c r="R577" s="753">
        <v>0</v>
      </c>
      <c r="S577" s="753">
        <v>220746</v>
      </c>
      <c r="T577" s="753">
        <v>220746</v>
      </c>
      <c r="U577" s="753">
        <v>24792</v>
      </c>
      <c r="V577" s="751">
        <v>2019</v>
      </c>
      <c r="W577" s="222"/>
      <c r="X577" s="186"/>
      <c r="Y577" s="178" t="str">
        <f t="shared" si="25"/>
        <v/>
      </c>
      <c r="Z577" s="178" t="str">
        <f t="shared" si="26"/>
        <v/>
      </c>
      <c r="AA577" s="44"/>
      <c r="AB577" s="65"/>
    </row>
    <row r="578" spans="1:28" hidden="1">
      <c r="A578" s="751">
        <v>10531</v>
      </c>
      <c r="B578" s="752" t="s">
        <v>35</v>
      </c>
      <c r="C578" s="751" t="s">
        <v>2960</v>
      </c>
      <c r="D578" s="752" t="s">
        <v>838</v>
      </c>
      <c r="E578" s="752" t="s">
        <v>123</v>
      </c>
      <c r="F578" s="751">
        <v>5914</v>
      </c>
      <c r="G578" s="752" t="s">
        <v>59</v>
      </c>
      <c r="H578" s="752" t="s">
        <v>1244</v>
      </c>
      <c r="I578" s="752" t="s">
        <v>60</v>
      </c>
      <c r="J578" s="751">
        <v>22</v>
      </c>
      <c r="K578" s="751">
        <v>2</v>
      </c>
      <c r="L578" s="752" t="s">
        <v>54</v>
      </c>
      <c r="M578" s="752" t="s">
        <v>37</v>
      </c>
      <c r="N578" s="752" t="s">
        <v>38</v>
      </c>
      <c r="O578" s="752" t="s">
        <v>39</v>
      </c>
      <c r="P578" s="752" t="s">
        <v>1238</v>
      </c>
      <c r="Q578" s="753">
        <v>0</v>
      </c>
      <c r="R578" s="753">
        <v>0</v>
      </c>
      <c r="S578" s="753">
        <v>450773</v>
      </c>
      <c r="T578" s="753">
        <v>450773</v>
      </c>
      <c r="U578" s="753">
        <v>50626</v>
      </c>
      <c r="V578" s="751">
        <v>2019</v>
      </c>
      <c r="W578" s="222"/>
      <c r="X578" s="186"/>
      <c r="Y578" s="178" t="str">
        <f t="shared" si="25"/>
        <v/>
      </c>
      <c r="Z578" s="178" t="str">
        <f t="shared" si="26"/>
        <v/>
      </c>
      <c r="AA578" s="44"/>
      <c r="AB578" s="65"/>
    </row>
    <row r="579" spans="1:28" hidden="1">
      <c r="A579" s="751">
        <v>10538</v>
      </c>
      <c r="B579" s="752" t="s">
        <v>35</v>
      </c>
      <c r="C579" s="751" t="s">
        <v>2960</v>
      </c>
      <c r="D579" s="752" t="s">
        <v>839</v>
      </c>
      <c r="E579" s="752" t="s">
        <v>840</v>
      </c>
      <c r="F579" s="751">
        <v>34688</v>
      </c>
      <c r="G579" s="752" t="s">
        <v>59</v>
      </c>
      <c r="H579" s="752" t="s">
        <v>1244</v>
      </c>
      <c r="I579" s="752" t="s">
        <v>60</v>
      </c>
      <c r="J579" s="751">
        <v>22</v>
      </c>
      <c r="K579" s="751">
        <v>2</v>
      </c>
      <c r="L579" s="752" t="s">
        <v>54</v>
      </c>
      <c r="M579" s="752" t="s">
        <v>37</v>
      </c>
      <c r="N579" s="752" t="s">
        <v>38</v>
      </c>
      <c r="O579" s="752" t="s">
        <v>39</v>
      </c>
      <c r="P579" s="752" t="s">
        <v>1238</v>
      </c>
      <c r="Q579" s="753">
        <v>0</v>
      </c>
      <c r="R579" s="753">
        <v>0</v>
      </c>
      <c r="S579" s="753">
        <v>131442</v>
      </c>
      <c r="T579" s="753">
        <v>131442</v>
      </c>
      <c r="U579" s="753">
        <v>14762</v>
      </c>
      <c r="V579" s="751">
        <v>2019</v>
      </c>
      <c r="W579" s="222"/>
      <c r="X579" s="186"/>
      <c r="Y579" s="178" t="str">
        <f t="shared" si="25"/>
        <v/>
      </c>
      <c r="Z579" s="178" t="str">
        <f t="shared" si="26"/>
        <v/>
      </c>
      <c r="AA579" s="44"/>
      <c r="AB579" s="65"/>
    </row>
    <row r="580" spans="1:28" hidden="1">
      <c r="A580" s="751">
        <v>10539</v>
      </c>
      <c r="B580" s="752" t="s">
        <v>35</v>
      </c>
      <c r="C580" s="751" t="s">
        <v>2960</v>
      </c>
      <c r="D580" s="752" t="s">
        <v>841</v>
      </c>
      <c r="E580" s="752" t="s">
        <v>840</v>
      </c>
      <c r="F580" s="751">
        <v>34688</v>
      </c>
      <c r="G580" s="752" t="s">
        <v>59</v>
      </c>
      <c r="H580" s="752" t="s">
        <v>1244</v>
      </c>
      <c r="I580" s="752" t="s">
        <v>60</v>
      </c>
      <c r="J580" s="751">
        <v>22</v>
      </c>
      <c r="K580" s="751">
        <v>2</v>
      </c>
      <c r="L580" s="752" t="s">
        <v>54</v>
      </c>
      <c r="M580" s="752" t="s">
        <v>37</v>
      </c>
      <c r="N580" s="752" t="s">
        <v>38</v>
      </c>
      <c r="O580" s="752" t="s">
        <v>39</v>
      </c>
      <c r="P580" s="752" t="s">
        <v>1238</v>
      </c>
      <c r="Q580" s="753">
        <v>0</v>
      </c>
      <c r="R580" s="753">
        <v>0</v>
      </c>
      <c r="S580" s="753">
        <v>52935</v>
      </c>
      <c r="T580" s="753">
        <v>52935</v>
      </c>
      <c r="U580" s="753">
        <v>5945</v>
      </c>
      <c r="V580" s="751">
        <v>2019</v>
      </c>
      <c r="W580" s="222"/>
      <c r="X580" s="186"/>
      <c r="Y580" s="178" t="str">
        <f t="shared" si="25"/>
        <v/>
      </c>
      <c r="Z580" s="178" t="str">
        <f t="shared" si="26"/>
        <v/>
      </c>
      <c r="AA580" s="44"/>
      <c r="AB580" s="65"/>
    </row>
    <row r="581" spans="1:28" hidden="1">
      <c r="A581" s="751">
        <v>10540</v>
      </c>
      <c r="B581" s="752" t="s">
        <v>35</v>
      </c>
      <c r="C581" s="751" t="s">
        <v>2960</v>
      </c>
      <c r="D581" s="752" t="s">
        <v>842</v>
      </c>
      <c r="E581" s="752" t="s">
        <v>840</v>
      </c>
      <c r="F581" s="751">
        <v>34688</v>
      </c>
      <c r="G581" s="752" t="s">
        <v>59</v>
      </c>
      <c r="H581" s="752" t="s">
        <v>1244</v>
      </c>
      <c r="I581" s="752" t="s">
        <v>60</v>
      </c>
      <c r="J581" s="751">
        <v>22</v>
      </c>
      <c r="K581" s="751">
        <v>2</v>
      </c>
      <c r="L581" s="752" t="s">
        <v>54</v>
      </c>
      <c r="M581" s="752" t="s">
        <v>37</v>
      </c>
      <c r="N581" s="752" t="s">
        <v>38</v>
      </c>
      <c r="O581" s="752" t="s">
        <v>39</v>
      </c>
      <c r="P581" s="752" t="s">
        <v>1238</v>
      </c>
      <c r="Q581" s="753">
        <v>0</v>
      </c>
      <c r="R581" s="753">
        <v>0</v>
      </c>
      <c r="S581" s="753">
        <v>40202</v>
      </c>
      <c r="T581" s="753">
        <v>40202</v>
      </c>
      <c r="U581" s="753">
        <v>4515</v>
      </c>
      <c r="V581" s="751">
        <v>2019</v>
      </c>
      <c r="W581" s="222"/>
      <c r="X581" s="186"/>
      <c r="Y581" s="178" t="str">
        <f t="shared" si="25"/>
        <v/>
      </c>
      <c r="Z581" s="178" t="str">
        <f t="shared" si="26"/>
        <v/>
      </c>
      <c r="AA581" s="44"/>
      <c r="AB581" s="65"/>
    </row>
    <row r="582" spans="1:28" hidden="1">
      <c r="A582" s="751">
        <v>10544</v>
      </c>
      <c r="B582" s="752" t="s">
        <v>35</v>
      </c>
      <c r="C582" s="751" t="s">
        <v>2960</v>
      </c>
      <c r="D582" s="752" t="s">
        <v>843</v>
      </c>
      <c r="E582" s="752" t="s">
        <v>840</v>
      </c>
      <c r="F582" s="751">
        <v>34688</v>
      </c>
      <c r="G582" s="752" t="s">
        <v>59</v>
      </c>
      <c r="H582" s="752" t="s">
        <v>1244</v>
      </c>
      <c r="I582" s="752" t="s">
        <v>60</v>
      </c>
      <c r="J582" s="751">
        <v>22</v>
      </c>
      <c r="K582" s="751">
        <v>2</v>
      </c>
      <c r="L582" s="752" t="s">
        <v>54</v>
      </c>
      <c r="M582" s="752" t="s">
        <v>37</v>
      </c>
      <c r="N582" s="752" t="s">
        <v>38</v>
      </c>
      <c r="O582" s="752" t="s">
        <v>39</v>
      </c>
      <c r="P582" s="752" t="s">
        <v>1238</v>
      </c>
      <c r="Q582" s="753">
        <v>0</v>
      </c>
      <c r="R582" s="753">
        <v>0</v>
      </c>
      <c r="S582" s="753">
        <v>104659</v>
      </c>
      <c r="T582" s="753">
        <v>104659</v>
      </c>
      <c r="U582" s="753">
        <v>11754</v>
      </c>
      <c r="V582" s="751">
        <v>2019</v>
      </c>
      <c r="W582" s="222"/>
      <c r="X582" s="186"/>
      <c r="Y582" s="178" t="str">
        <f t="shared" si="25"/>
        <v/>
      </c>
      <c r="Z582" s="178" t="str">
        <f t="shared" si="26"/>
        <v/>
      </c>
      <c r="AA582" s="44"/>
      <c r="AB582" s="65"/>
    </row>
    <row r="583" spans="1:28" hidden="1">
      <c r="A583" s="751">
        <v>10545</v>
      </c>
      <c r="B583" s="752" t="s">
        <v>35</v>
      </c>
      <c r="C583" s="751" t="s">
        <v>2960</v>
      </c>
      <c r="D583" s="752" t="s">
        <v>844</v>
      </c>
      <c r="E583" s="752" t="s">
        <v>840</v>
      </c>
      <c r="F583" s="751">
        <v>34688</v>
      </c>
      <c r="G583" s="752" t="s">
        <v>59</v>
      </c>
      <c r="H583" s="752" t="s">
        <v>1244</v>
      </c>
      <c r="I583" s="752" t="s">
        <v>60</v>
      </c>
      <c r="J583" s="751">
        <v>22</v>
      </c>
      <c r="K583" s="751">
        <v>2</v>
      </c>
      <c r="L583" s="752" t="s">
        <v>54</v>
      </c>
      <c r="M583" s="752" t="s">
        <v>37</v>
      </c>
      <c r="N583" s="752" t="s">
        <v>38</v>
      </c>
      <c r="O583" s="752" t="s">
        <v>39</v>
      </c>
      <c r="P583" s="752" t="s">
        <v>1238</v>
      </c>
      <c r="Q583" s="753">
        <v>0</v>
      </c>
      <c r="R583" s="753">
        <v>0</v>
      </c>
      <c r="S583" s="753">
        <v>69186</v>
      </c>
      <c r="T583" s="753">
        <v>69186</v>
      </c>
      <c r="U583" s="753">
        <v>7770</v>
      </c>
      <c r="V583" s="751">
        <v>2019</v>
      </c>
      <c r="W583" s="222"/>
      <c r="X583" s="186"/>
      <c r="Y583" s="86" t="str">
        <f t="shared" ref="Y583:Y646" si="29">IF(AND($M583=$Y$2,$N583=$Y$3,NOT($Q583=$R583),NOT($U583=0)),IF($K583=5,$S583/($U583+(8/5)*$U583),IF($K583=7,$S583/($U583+(29/25)*$U583),"")),"")</f>
        <v/>
      </c>
      <c r="Z583" s="86" t="str">
        <f t="shared" ref="Z583:Z646" si="30">IF(AND($M583=$Y$2,$N583=$Y$4,NOT($Q583=$R583),NOT($U583=0)),IF($K583=5,$S583/($U583+(8/5)*$U583),IF($K583=7,$S583/($U583+(29/25)*$U583),"")),"")</f>
        <v/>
      </c>
      <c r="AA583" s="44"/>
      <c r="AB583" s="65"/>
    </row>
    <row r="584" spans="1:28" hidden="1">
      <c r="A584" s="751">
        <v>10547</v>
      </c>
      <c r="B584" s="752" t="s">
        <v>35</v>
      </c>
      <c r="C584" s="751" t="s">
        <v>2960</v>
      </c>
      <c r="D584" s="752" t="s">
        <v>845</v>
      </c>
      <c r="E584" s="752" t="s">
        <v>840</v>
      </c>
      <c r="F584" s="751">
        <v>34688</v>
      </c>
      <c r="G584" s="752" t="s">
        <v>59</v>
      </c>
      <c r="H584" s="752" t="s">
        <v>1244</v>
      </c>
      <c r="I584" s="752" t="s">
        <v>60</v>
      </c>
      <c r="J584" s="751">
        <v>22</v>
      </c>
      <c r="K584" s="751">
        <v>2</v>
      </c>
      <c r="L584" s="752" t="s">
        <v>54</v>
      </c>
      <c r="M584" s="752" t="s">
        <v>37</v>
      </c>
      <c r="N584" s="752" t="s">
        <v>38</v>
      </c>
      <c r="O584" s="752" t="s">
        <v>39</v>
      </c>
      <c r="P584" s="752" t="s">
        <v>1238</v>
      </c>
      <c r="Q584" s="753">
        <v>0</v>
      </c>
      <c r="R584" s="753">
        <v>0</v>
      </c>
      <c r="S584" s="753">
        <v>266363</v>
      </c>
      <c r="T584" s="753">
        <v>266363</v>
      </c>
      <c r="U584" s="753">
        <v>29915</v>
      </c>
      <c r="V584" s="751">
        <v>2019</v>
      </c>
      <c r="W584" s="222"/>
      <c r="X584" s="186"/>
      <c r="Y584" s="86" t="str">
        <f t="shared" si="29"/>
        <v/>
      </c>
      <c r="Z584" s="86" t="str">
        <f t="shared" si="30"/>
        <v/>
      </c>
      <c r="AA584" s="44"/>
      <c r="AB584" s="65"/>
    </row>
    <row r="585" spans="1:28" hidden="1">
      <c r="A585" s="751">
        <v>10549</v>
      </c>
      <c r="B585" s="752" t="s">
        <v>35</v>
      </c>
      <c r="C585" s="751" t="s">
        <v>2960</v>
      </c>
      <c r="D585" s="752" t="s">
        <v>1167</v>
      </c>
      <c r="E585" s="752" t="s">
        <v>1168</v>
      </c>
      <c r="F585" s="751">
        <v>463</v>
      </c>
      <c r="G585" s="752" t="s">
        <v>59</v>
      </c>
      <c r="H585" s="752" t="s">
        <v>1244</v>
      </c>
      <c r="I585" s="752" t="s">
        <v>60</v>
      </c>
      <c r="J585" s="751">
        <v>22</v>
      </c>
      <c r="K585" s="751">
        <v>2</v>
      </c>
      <c r="L585" s="752" t="s">
        <v>54</v>
      </c>
      <c r="M585" s="752" t="s">
        <v>53</v>
      </c>
      <c r="N585" s="752" t="s">
        <v>65</v>
      </c>
      <c r="O585" s="752" t="s">
        <v>66</v>
      </c>
      <c r="P585" s="752" t="s">
        <v>1091</v>
      </c>
      <c r="Q585" s="753">
        <v>10871</v>
      </c>
      <c r="R585" s="753">
        <v>10871</v>
      </c>
      <c r="S585" s="753">
        <v>2880</v>
      </c>
      <c r="T585" s="753">
        <v>2880</v>
      </c>
      <c r="U585" s="753">
        <v>278</v>
      </c>
      <c r="V585" s="751">
        <v>2019</v>
      </c>
      <c r="W585" s="222"/>
      <c r="X585" s="186"/>
      <c r="Y585" s="86" t="str">
        <f t="shared" si="29"/>
        <v/>
      </c>
      <c r="Z585" s="86" t="str">
        <f t="shared" si="30"/>
        <v/>
      </c>
      <c r="AA585" s="44"/>
      <c r="AB585" s="65"/>
    </row>
    <row r="586" spans="1:28" ht="25" hidden="1">
      <c r="A586" s="751">
        <v>10553</v>
      </c>
      <c r="B586" s="752" t="s">
        <v>35</v>
      </c>
      <c r="C586" s="751" t="s">
        <v>2960</v>
      </c>
      <c r="D586" s="752" t="s">
        <v>2250</v>
      </c>
      <c r="E586" s="752" t="s">
        <v>2251</v>
      </c>
      <c r="F586" s="751">
        <v>4385</v>
      </c>
      <c r="G586" s="752" t="s">
        <v>83</v>
      </c>
      <c r="H586" s="752" t="s">
        <v>1245</v>
      </c>
      <c r="I586" s="752" t="s">
        <v>60</v>
      </c>
      <c r="J586" s="751">
        <v>326</v>
      </c>
      <c r="K586" s="751">
        <v>6</v>
      </c>
      <c r="L586" s="752" t="s">
        <v>420</v>
      </c>
      <c r="M586" s="752" t="s">
        <v>53</v>
      </c>
      <c r="N586" s="752" t="s">
        <v>48</v>
      </c>
      <c r="O586" s="752" t="s">
        <v>48</v>
      </c>
      <c r="P586" s="752" t="s">
        <v>49</v>
      </c>
      <c r="Q586" s="753">
        <v>34</v>
      </c>
      <c r="R586" s="753">
        <v>34</v>
      </c>
      <c r="S586" s="753">
        <v>211</v>
      </c>
      <c r="T586" s="753">
        <v>211</v>
      </c>
      <c r="U586" s="753">
        <v>70</v>
      </c>
      <c r="V586" s="751">
        <v>2019</v>
      </c>
      <c r="W586" s="222"/>
      <c r="X586" s="186" t="str">
        <f>IF(OR(K586&gt;3,T586=0,NOT(U586&gt;0)),"",T586/U586)</f>
        <v/>
      </c>
      <c r="Y586" s="86" t="str">
        <f t="shared" si="29"/>
        <v/>
      </c>
      <c r="Z586" s="86" t="str">
        <f t="shared" si="30"/>
        <v/>
      </c>
      <c r="AA586" s="44"/>
      <c r="AB586" s="65"/>
    </row>
    <row r="587" spans="1:28" hidden="1">
      <c r="A587" s="751">
        <v>10555</v>
      </c>
      <c r="B587" s="752" t="s">
        <v>35</v>
      </c>
      <c r="C587" s="751" t="s">
        <v>2960</v>
      </c>
      <c r="D587" s="752" t="s">
        <v>846</v>
      </c>
      <c r="E587" s="752" t="s">
        <v>847</v>
      </c>
      <c r="F587" s="751">
        <v>2179</v>
      </c>
      <c r="G587" s="752" t="s">
        <v>92</v>
      </c>
      <c r="H587" s="752" t="s">
        <v>1245</v>
      </c>
      <c r="I587" s="752" t="s">
        <v>60</v>
      </c>
      <c r="J587" s="751">
        <v>22</v>
      </c>
      <c r="K587" s="751">
        <v>2</v>
      </c>
      <c r="L587" s="752" t="s">
        <v>54</v>
      </c>
      <c r="M587" s="752" t="s">
        <v>37</v>
      </c>
      <c r="N587" s="752" t="s">
        <v>38</v>
      </c>
      <c r="O587" s="752" t="s">
        <v>39</v>
      </c>
      <c r="P587" s="752" t="s">
        <v>1238</v>
      </c>
      <c r="Q587" s="753">
        <v>0</v>
      </c>
      <c r="R587" s="753">
        <v>0</v>
      </c>
      <c r="S587" s="753">
        <v>135402</v>
      </c>
      <c r="T587" s="753">
        <v>135402</v>
      </c>
      <c r="U587" s="753">
        <v>15207</v>
      </c>
      <c r="V587" s="751">
        <v>2019</v>
      </c>
      <c r="W587" s="222"/>
      <c r="X587" s="186">
        <f>IF(OR(K587&gt;3,T587=0,NOT(U587&gt;0)),"",T587/U587)</f>
        <v>8.9039258236338537</v>
      </c>
      <c r="Y587" s="178" t="str">
        <f t="shared" si="29"/>
        <v/>
      </c>
      <c r="Z587" s="178" t="str">
        <f t="shared" si="30"/>
        <v/>
      </c>
      <c r="AA587" s="44"/>
      <c r="AB587" s="65"/>
    </row>
    <row r="588" spans="1:28" hidden="1">
      <c r="A588" s="751">
        <v>10556</v>
      </c>
      <c r="B588" s="752" t="s">
        <v>35</v>
      </c>
      <c r="C588" s="751" t="s">
        <v>2960</v>
      </c>
      <c r="D588" s="752" t="s">
        <v>848</v>
      </c>
      <c r="E588" s="752" t="s">
        <v>849</v>
      </c>
      <c r="F588" s="751">
        <v>2016</v>
      </c>
      <c r="G588" s="752" t="s">
        <v>83</v>
      </c>
      <c r="H588" s="752" t="s">
        <v>1245</v>
      </c>
      <c r="I588" s="752" t="s">
        <v>60</v>
      </c>
      <c r="J588" s="751">
        <v>22</v>
      </c>
      <c r="K588" s="751">
        <v>2</v>
      </c>
      <c r="L588" s="752" t="s">
        <v>54</v>
      </c>
      <c r="M588" s="752" t="s">
        <v>37</v>
      </c>
      <c r="N588" s="752" t="s">
        <v>38</v>
      </c>
      <c r="O588" s="752" t="s">
        <v>39</v>
      </c>
      <c r="P588" s="752" t="s">
        <v>1238</v>
      </c>
      <c r="Q588" s="753">
        <v>0</v>
      </c>
      <c r="R588" s="753">
        <v>0</v>
      </c>
      <c r="S588" s="753">
        <v>779724</v>
      </c>
      <c r="T588" s="753">
        <v>779724</v>
      </c>
      <c r="U588" s="753">
        <v>87570</v>
      </c>
      <c r="V588" s="751">
        <v>2019</v>
      </c>
      <c r="W588" s="222"/>
      <c r="X588" s="186"/>
      <c r="Y588" s="86" t="str">
        <f t="shared" si="29"/>
        <v/>
      </c>
      <c r="Z588" s="86" t="str">
        <f t="shared" si="30"/>
        <v/>
      </c>
      <c r="AA588" s="44"/>
      <c r="AB588" s="65"/>
    </row>
    <row r="589" spans="1:28" hidden="1">
      <c r="A589" s="751">
        <v>10567</v>
      </c>
      <c r="B589" s="752" t="s">
        <v>56</v>
      </c>
      <c r="C589" s="751" t="s">
        <v>2960</v>
      </c>
      <c r="D589" s="752" t="s">
        <v>850</v>
      </c>
      <c r="E589" s="752" t="s">
        <v>851</v>
      </c>
      <c r="F589" s="751">
        <v>291</v>
      </c>
      <c r="G589" s="752" t="s">
        <v>43</v>
      </c>
      <c r="H589" s="752" t="s">
        <v>1245</v>
      </c>
      <c r="I589" s="752" t="s">
        <v>60</v>
      </c>
      <c r="J589" s="751">
        <v>22</v>
      </c>
      <c r="K589" s="751">
        <v>3</v>
      </c>
      <c r="L589" s="752" t="s">
        <v>57</v>
      </c>
      <c r="M589" s="752" t="s">
        <v>40</v>
      </c>
      <c r="N589" s="752" t="s">
        <v>48</v>
      </c>
      <c r="O589" s="752" t="s">
        <v>48</v>
      </c>
      <c r="P589" s="752" t="s">
        <v>49</v>
      </c>
      <c r="Q589" s="753">
        <v>0</v>
      </c>
      <c r="R589" s="753">
        <v>0</v>
      </c>
      <c r="S589" s="753">
        <v>0</v>
      </c>
      <c r="T589" s="753">
        <v>0</v>
      </c>
      <c r="U589" s="753">
        <v>3.1749999999999998</v>
      </c>
      <c r="V589" s="751">
        <v>2019</v>
      </c>
      <c r="W589" s="222"/>
      <c r="X589" s="186"/>
      <c r="Y589" s="86" t="str">
        <f t="shared" si="29"/>
        <v/>
      </c>
      <c r="Z589" s="86" t="str">
        <f t="shared" si="30"/>
        <v/>
      </c>
      <c r="AA589" s="44"/>
      <c r="AB589" s="65"/>
    </row>
    <row r="590" spans="1:28" hidden="1">
      <c r="A590" s="751">
        <v>10567</v>
      </c>
      <c r="B590" s="752" t="s">
        <v>56</v>
      </c>
      <c r="C590" s="751" t="s">
        <v>2960</v>
      </c>
      <c r="D590" s="752" t="s">
        <v>850</v>
      </c>
      <c r="E590" s="752" t="s">
        <v>851</v>
      </c>
      <c r="F590" s="751">
        <v>291</v>
      </c>
      <c r="G590" s="752" t="s">
        <v>43</v>
      </c>
      <c r="H590" s="752" t="s">
        <v>1245</v>
      </c>
      <c r="I590" s="752" t="s">
        <v>60</v>
      </c>
      <c r="J590" s="751">
        <v>22</v>
      </c>
      <c r="K590" s="751">
        <v>3</v>
      </c>
      <c r="L590" s="752" t="s">
        <v>57</v>
      </c>
      <c r="M590" s="752" t="s">
        <v>40</v>
      </c>
      <c r="N590" s="752" t="s">
        <v>41</v>
      </c>
      <c r="O590" s="752" t="s">
        <v>41</v>
      </c>
      <c r="P590" s="752" t="s">
        <v>1091</v>
      </c>
      <c r="Q590" s="753">
        <v>0</v>
      </c>
      <c r="R590" s="753">
        <v>0</v>
      </c>
      <c r="S590" s="753">
        <v>0</v>
      </c>
      <c r="T590" s="753">
        <v>0</v>
      </c>
      <c r="U590" s="753">
        <v>12270.235000000001</v>
      </c>
      <c r="V590" s="751">
        <v>2019</v>
      </c>
      <c r="W590" s="222"/>
      <c r="X590" s="186"/>
      <c r="Y590" s="86" t="str">
        <f t="shared" si="29"/>
        <v/>
      </c>
      <c r="Z590" s="86" t="str">
        <f t="shared" si="30"/>
        <v/>
      </c>
      <c r="AA590" s="44"/>
      <c r="AB590" s="65"/>
    </row>
    <row r="591" spans="1:28" hidden="1">
      <c r="A591" s="751">
        <v>10567</v>
      </c>
      <c r="B591" s="752" t="s">
        <v>56</v>
      </c>
      <c r="C591" s="751" t="s">
        <v>2960</v>
      </c>
      <c r="D591" s="752" t="s">
        <v>850</v>
      </c>
      <c r="E591" s="752" t="s">
        <v>851</v>
      </c>
      <c r="F591" s="751">
        <v>291</v>
      </c>
      <c r="G591" s="752" t="s">
        <v>43</v>
      </c>
      <c r="H591" s="752" t="s">
        <v>1245</v>
      </c>
      <c r="I591" s="752" t="s">
        <v>60</v>
      </c>
      <c r="J591" s="751">
        <v>22</v>
      </c>
      <c r="K591" s="751">
        <v>3</v>
      </c>
      <c r="L591" s="752" t="s">
        <v>57</v>
      </c>
      <c r="M591" s="752" t="s">
        <v>43</v>
      </c>
      <c r="N591" s="752" t="s">
        <v>48</v>
      </c>
      <c r="O591" s="752" t="s">
        <v>48</v>
      </c>
      <c r="P591" s="752" t="s">
        <v>49</v>
      </c>
      <c r="Q591" s="753">
        <v>739</v>
      </c>
      <c r="R591" s="753">
        <v>368</v>
      </c>
      <c r="S591" s="753">
        <v>4257</v>
      </c>
      <c r="T591" s="753">
        <v>2118</v>
      </c>
      <c r="U591" s="753">
        <v>369.85399999999998</v>
      </c>
      <c r="V591" s="751">
        <v>2019</v>
      </c>
      <c r="W591" s="222"/>
      <c r="X591" s="186">
        <f>IF(OR(K591&gt;3,T591=0,NOT(U591&gt;0)),"",T591/U591)</f>
        <v>5.7265840034175648</v>
      </c>
      <c r="Y591" s="86" t="str">
        <f t="shared" si="29"/>
        <v/>
      </c>
      <c r="Z591" s="86" t="str">
        <f t="shared" si="30"/>
        <v/>
      </c>
      <c r="AA591" s="44"/>
      <c r="AB591" s="65"/>
    </row>
    <row r="592" spans="1:28" hidden="1">
      <c r="A592" s="751">
        <v>10567</v>
      </c>
      <c r="B592" s="752" t="s">
        <v>56</v>
      </c>
      <c r="C592" s="751" t="s">
        <v>2960</v>
      </c>
      <c r="D592" s="752" t="s">
        <v>850</v>
      </c>
      <c r="E592" s="752" t="s">
        <v>851</v>
      </c>
      <c r="F592" s="751">
        <v>291</v>
      </c>
      <c r="G592" s="752" t="s">
        <v>43</v>
      </c>
      <c r="H592" s="752" t="s">
        <v>1245</v>
      </c>
      <c r="I592" s="752" t="s">
        <v>60</v>
      </c>
      <c r="J592" s="751">
        <v>22</v>
      </c>
      <c r="K592" s="751">
        <v>3</v>
      </c>
      <c r="L592" s="752" t="s">
        <v>57</v>
      </c>
      <c r="M592" s="752" t="s">
        <v>43</v>
      </c>
      <c r="N592" s="752" t="s">
        <v>41</v>
      </c>
      <c r="O592" s="752" t="s">
        <v>41</v>
      </c>
      <c r="P592" s="752" t="s">
        <v>1091</v>
      </c>
      <c r="Q592" s="753">
        <v>1347254</v>
      </c>
      <c r="R592" s="753">
        <v>683115</v>
      </c>
      <c r="S592" s="753">
        <v>1384517</v>
      </c>
      <c r="T592" s="753">
        <v>702012</v>
      </c>
      <c r="U592" s="753">
        <v>111466.3</v>
      </c>
      <c r="V592" s="751">
        <v>2019</v>
      </c>
      <c r="W592" s="222"/>
      <c r="X592" s="186">
        <f>IF(OR(K592&gt;3,T592=0,NOT(U592&gt;0)),"",T592/U592)</f>
        <v>6.2979752624784346</v>
      </c>
      <c r="Y592" s="178" t="str">
        <f t="shared" si="29"/>
        <v/>
      </c>
      <c r="Z592" s="178" t="str">
        <f t="shared" si="30"/>
        <v/>
      </c>
      <c r="AA592" s="44"/>
      <c r="AB592" s="65"/>
    </row>
    <row r="593" spans="1:28" hidden="1">
      <c r="A593" s="751">
        <v>10570</v>
      </c>
      <c r="B593" s="752" t="s">
        <v>35</v>
      </c>
      <c r="C593" s="751" t="s">
        <v>2960</v>
      </c>
      <c r="D593" s="752" t="s">
        <v>852</v>
      </c>
      <c r="E593" s="752" t="s">
        <v>853</v>
      </c>
      <c r="F593" s="751">
        <v>23037</v>
      </c>
      <c r="G593" s="752" t="s">
        <v>98</v>
      </c>
      <c r="H593" s="752" t="s">
        <v>1245</v>
      </c>
      <c r="I593" s="752" t="s">
        <v>60</v>
      </c>
      <c r="J593" s="751">
        <v>22</v>
      </c>
      <c r="K593" s="751">
        <v>2</v>
      </c>
      <c r="L593" s="752" t="s">
        <v>54</v>
      </c>
      <c r="M593" s="752" t="s">
        <v>37</v>
      </c>
      <c r="N593" s="752" t="s">
        <v>38</v>
      </c>
      <c r="O593" s="752" t="s">
        <v>39</v>
      </c>
      <c r="P593" s="752" t="s">
        <v>1238</v>
      </c>
      <c r="Q593" s="753">
        <v>0</v>
      </c>
      <c r="R593" s="753">
        <v>0</v>
      </c>
      <c r="S593" s="753">
        <v>111397</v>
      </c>
      <c r="T593" s="753">
        <v>111397</v>
      </c>
      <c r="U593" s="753">
        <v>12511</v>
      </c>
      <c r="V593" s="751">
        <v>2019</v>
      </c>
      <c r="W593" s="222"/>
      <c r="X593" s="186">
        <f>IF(OR(K593&gt;3,T593=0,NOT(U593&gt;0)),"",T593/U593)</f>
        <v>8.9039245463991694</v>
      </c>
      <c r="Y593" s="178" t="str">
        <f t="shared" si="29"/>
        <v/>
      </c>
      <c r="Z593" s="178" t="str">
        <f t="shared" si="30"/>
        <v/>
      </c>
      <c r="AA593" s="44"/>
      <c r="AB593" s="65"/>
    </row>
    <row r="594" spans="1:28" hidden="1">
      <c r="A594" s="751">
        <v>10608</v>
      </c>
      <c r="B594" s="752" t="s">
        <v>35</v>
      </c>
      <c r="C594" s="751" t="s">
        <v>2960</v>
      </c>
      <c r="D594" s="752" t="s">
        <v>854</v>
      </c>
      <c r="E594" s="752" t="s">
        <v>855</v>
      </c>
      <c r="F594" s="751">
        <v>56467</v>
      </c>
      <c r="G594" s="752" t="s">
        <v>91</v>
      </c>
      <c r="H594" s="752" t="s">
        <v>1245</v>
      </c>
      <c r="I594" s="752" t="s">
        <v>60</v>
      </c>
      <c r="J594" s="751">
        <v>22</v>
      </c>
      <c r="K594" s="751">
        <v>2</v>
      </c>
      <c r="L594" s="752" t="s">
        <v>54</v>
      </c>
      <c r="M594" s="752" t="s">
        <v>37</v>
      </c>
      <c r="N594" s="752" t="s">
        <v>38</v>
      </c>
      <c r="O594" s="752" t="s">
        <v>39</v>
      </c>
      <c r="P594" s="752" t="s">
        <v>1238</v>
      </c>
      <c r="Q594" s="753">
        <v>0</v>
      </c>
      <c r="R594" s="753">
        <v>0</v>
      </c>
      <c r="S594" s="753">
        <v>200794</v>
      </c>
      <c r="T594" s="753">
        <v>200794</v>
      </c>
      <c r="U594" s="753">
        <v>22551</v>
      </c>
      <c r="V594" s="751">
        <v>2019</v>
      </c>
      <c r="W594" s="222"/>
      <c r="X594" s="186"/>
      <c r="Y594" s="178" t="str">
        <f t="shared" si="29"/>
        <v/>
      </c>
      <c r="Z594" s="178" t="str">
        <f t="shared" si="30"/>
        <v/>
      </c>
      <c r="AA594" s="44"/>
      <c r="AB594" s="65"/>
    </row>
    <row r="595" spans="1:28" hidden="1">
      <c r="A595" s="751">
        <v>10613</v>
      </c>
      <c r="B595" s="752" t="s">
        <v>56</v>
      </c>
      <c r="C595" s="751" t="s">
        <v>2960</v>
      </c>
      <c r="D595" s="752" t="s">
        <v>2970</v>
      </c>
      <c r="E595" s="752" t="s">
        <v>1106</v>
      </c>
      <c r="F595" s="751">
        <v>5232</v>
      </c>
      <c r="G595" s="752" t="s">
        <v>92</v>
      </c>
      <c r="H595" s="752" t="s">
        <v>1245</v>
      </c>
      <c r="I595" s="752" t="s">
        <v>60</v>
      </c>
      <c r="J595" s="751">
        <v>322122</v>
      </c>
      <c r="K595" s="751">
        <v>7</v>
      </c>
      <c r="L595" s="752" t="s">
        <v>419</v>
      </c>
      <c r="M595" s="752" t="s">
        <v>37</v>
      </c>
      <c r="N595" s="752" t="s">
        <v>38</v>
      </c>
      <c r="O595" s="752" t="s">
        <v>39</v>
      </c>
      <c r="P595" s="752" t="s">
        <v>1238</v>
      </c>
      <c r="Q595" s="753">
        <v>0</v>
      </c>
      <c r="R595" s="753">
        <v>0</v>
      </c>
      <c r="S595" s="753">
        <v>666990</v>
      </c>
      <c r="T595" s="753">
        <v>666990</v>
      </c>
      <c r="U595" s="753">
        <v>74909</v>
      </c>
      <c r="V595" s="751">
        <v>2019</v>
      </c>
      <c r="W595" s="222"/>
      <c r="X595" s="186"/>
      <c r="Y595" s="178" t="str">
        <f t="shared" si="29"/>
        <v/>
      </c>
      <c r="Z595" s="178" t="str">
        <f t="shared" si="30"/>
        <v/>
      </c>
      <c r="AA595" s="44"/>
      <c r="AB595" s="65"/>
    </row>
    <row r="596" spans="1:28" ht="25" hidden="1">
      <c r="A596" s="751">
        <v>10613</v>
      </c>
      <c r="B596" s="752" t="s">
        <v>56</v>
      </c>
      <c r="C596" s="751" t="s">
        <v>2960</v>
      </c>
      <c r="D596" s="752" t="s">
        <v>2970</v>
      </c>
      <c r="E596" s="752" t="s">
        <v>1106</v>
      </c>
      <c r="F596" s="751">
        <v>5232</v>
      </c>
      <c r="G596" s="752" t="s">
        <v>92</v>
      </c>
      <c r="H596" s="752" t="s">
        <v>1245</v>
      </c>
      <c r="I596" s="752" t="s">
        <v>60</v>
      </c>
      <c r="J596" s="751">
        <v>322122</v>
      </c>
      <c r="K596" s="751">
        <v>7</v>
      </c>
      <c r="L596" s="752" t="s">
        <v>419</v>
      </c>
      <c r="M596" s="752" t="s">
        <v>44</v>
      </c>
      <c r="N596" s="752" t="s">
        <v>159</v>
      </c>
      <c r="O596" s="752" t="s">
        <v>72</v>
      </c>
      <c r="P596" s="752" t="s">
        <v>47</v>
      </c>
      <c r="Q596" s="753">
        <v>518073</v>
      </c>
      <c r="R596" s="753">
        <v>78286</v>
      </c>
      <c r="S596" s="753">
        <v>6216876</v>
      </c>
      <c r="T596" s="753">
        <v>939452</v>
      </c>
      <c r="U596" s="753">
        <v>212009.92</v>
      </c>
      <c r="V596" s="751">
        <v>2019</v>
      </c>
      <c r="W596" s="222"/>
      <c r="X596" s="186"/>
      <c r="Y596" s="178" t="str">
        <f t="shared" si="29"/>
        <v/>
      </c>
      <c r="Z596" s="178" t="str">
        <f t="shared" si="30"/>
        <v/>
      </c>
      <c r="AA596" s="44"/>
      <c r="AB596" s="65"/>
    </row>
    <row r="597" spans="1:28" hidden="1">
      <c r="A597" s="751">
        <v>10613</v>
      </c>
      <c r="B597" s="752" t="s">
        <v>56</v>
      </c>
      <c r="C597" s="751" t="s">
        <v>2960</v>
      </c>
      <c r="D597" s="752" t="s">
        <v>2970</v>
      </c>
      <c r="E597" s="752" t="s">
        <v>1106</v>
      </c>
      <c r="F597" s="751">
        <v>5232</v>
      </c>
      <c r="G597" s="752" t="s">
        <v>92</v>
      </c>
      <c r="H597" s="752" t="s">
        <v>1245</v>
      </c>
      <c r="I597" s="752" t="s">
        <v>60</v>
      </c>
      <c r="J597" s="751">
        <v>322122</v>
      </c>
      <c r="K597" s="751">
        <v>7</v>
      </c>
      <c r="L597" s="752" t="s">
        <v>419</v>
      </c>
      <c r="M597" s="752" t="s">
        <v>44</v>
      </c>
      <c r="N597" s="752" t="s">
        <v>41</v>
      </c>
      <c r="O597" s="752" t="s">
        <v>41</v>
      </c>
      <c r="P597" s="752" t="s">
        <v>1091</v>
      </c>
      <c r="Q597" s="753">
        <v>1803229</v>
      </c>
      <c r="R597" s="753">
        <v>273459</v>
      </c>
      <c r="S597" s="753">
        <v>1803229</v>
      </c>
      <c r="T597" s="753">
        <v>273459</v>
      </c>
      <c r="U597" s="753">
        <v>61713.008999999998</v>
      </c>
      <c r="V597" s="751">
        <v>2019</v>
      </c>
      <c r="W597" s="222"/>
      <c r="X597" s="186" t="str">
        <f t="shared" ref="X597:X613" si="31">IF(OR(K597&gt;3,T597=0,NOT(U597&gt;0)),"",T597/U597)</f>
        <v/>
      </c>
      <c r="Y597" s="178" t="str">
        <f t="shared" si="29"/>
        <v/>
      </c>
      <c r="Z597" s="178" t="str">
        <f t="shared" si="30"/>
        <v/>
      </c>
      <c r="AA597" s="44"/>
      <c r="AB597" s="65"/>
    </row>
    <row r="598" spans="1:28" hidden="1">
      <c r="A598" s="751">
        <v>10613</v>
      </c>
      <c r="B598" s="752" t="s">
        <v>56</v>
      </c>
      <c r="C598" s="751" t="s">
        <v>2960</v>
      </c>
      <c r="D598" s="752" t="s">
        <v>2970</v>
      </c>
      <c r="E598" s="752" t="s">
        <v>1106</v>
      </c>
      <c r="F598" s="751">
        <v>5232</v>
      </c>
      <c r="G598" s="752" t="s">
        <v>92</v>
      </c>
      <c r="H598" s="752" t="s">
        <v>1245</v>
      </c>
      <c r="I598" s="752" t="s">
        <v>60</v>
      </c>
      <c r="J598" s="751">
        <v>322122</v>
      </c>
      <c r="K598" s="751">
        <v>7</v>
      </c>
      <c r="L598" s="752" t="s">
        <v>419</v>
      </c>
      <c r="M598" s="752" t="s">
        <v>44</v>
      </c>
      <c r="N598" s="752" t="s">
        <v>63</v>
      </c>
      <c r="O598" s="752" t="s">
        <v>63</v>
      </c>
      <c r="P598" s="752" t="s">
        <v>49</v>
      </c>
      <c r="Q598" s="753">
        <v>0</v>
      </c>
      <c r="R598" s="753">
        <v>0</v>
      </c>
      <c r="S598" s="753">
        <v>0</v>
      </c>
      <c r="T598" s="753">
        <v>0</v>
      </c>
      <c r="U598" s="753">
        <v>0</v>
      </c>
      <c r="V598" s="751">
        <v>2019</v>
      </c>
      <c r="W598" s="222"/>
      <c r="X598" s="186" t="str">
        <f t="shared" si="31"/>
        <v/>
      </c>
      <c r="Y598" s="178" t="str">
        <f t="shared" si="29"/>
        <v/>
      </c>
      <c r="Z598" s="178" t="str">
        <f t="shared" si="30"/>
        <v/>
      </c>
      <c r="AA598" s="44"/>
      <c r="AB598" s="65"/>
    </row>
    <row r="599" spans="1:28" ht="25" hidden="1">
      <c r="A599" s="751">
        <v>10613</v>
      </c>
      <c r="B599" s="752" t="s">
        <v>56</v>
      </c>
      <c r="C599" s="751" t="s">
        <v>2960</v>
      </c>
      <c r="D599" s="752" t="s">
        <v>2970</v>
      </c>
      <c r="E599" s="752" t="s">
        <v>1106</v>
      </c>
      <c r="F599" s="751">
        <v>5232</v>
      </c>
      <c r="G599" s="752" t="s">
        <v>92</v>
      </c>
      <c r="H599" s="752" t="s">
        <v>1245</v>
      </c>
      <c r="I599" s="752" t="s">
        <v>60</v>
      </c>
      <c r="J599" s="751">
        <v>322122</v>
      </c>
      <c r="K599" s="751">
        <v>7</v>
      </c>
      <c r="L599" s="752" t="s">
        <v>419</v>
      </c>
      <c r="M599" s="752" t="s">
        <v>44</v>
      </c>
      <c r="N599" s="752" t="s">
        <v>71</v>
      </c>
      <c r="O599" s="752" t="s">
        <v>72</v>
      </c>
      <c r="P599" s="752" t="s">
        <v>47</v>
      </c>
      <c r="Q599" s="753">
        <v>224360</v>
      </c>
      <c r="R599" s="753">
        <v>33892</v>
      </c>
      <c r="S599" s="753">
        <v>1733370</v>
      </c>
      <c r="T599" s="753">
        <v>262167</v>
      </c>
      <c r="U599" s="753">
        <v>59164.072</v>
      </c>
      <c r="V599" s="751">
        <v>2019</v>
      </c>
      <c r="W599" s="222"/>
      <c r="X599" s="186" t="str">
        <f t="shared" si="31"/>
        <v/>
      </c>
      <c r="Y599" s="178" t="str">
        <f t="shared" si="29"/>
        <v/>
      </c>
      <c r="Z599" s="178" t="str">
        <f t="shared" si="30"/>
        <v/>
      </c>
      <c r="AA599" s="44"/>
      <c r="AB599" s="65"/>
    </row>
    <row r="600" spans="1:28" hidden="1">
      <c r="A600" s="751">
        <v>10617</v>
      </c>
      <c r="B600" s="752" t="s">
        <v>56</v>
      </c>
      <c r="C600" s="751" t="s">
        <v>2960</v>
      </c>
      <c r="D600" s="752" t="s">
        <v>411</v>
      </c>
      <c r="E600" s="752" t="s">
        <v>1232</v>
      </c>
      <c r="F600" s="751">
        <v>58338</v>
      </c>
      <c r="G600" s="752" t="s">
        <v>59</v>
      </c>
      <c r="H600" s="752" t="s">
        <v>1244</v>
      </c>
      <c r="I600" s="752" t="s">
        <v>60</v>
      </c>
      <c r="J600" s="751">
        <v>22</v>
      </c>
      <c r="K600" s="751">
        <v>3</v>
      </c>
      <c r="L600" s="752" t="s">
        <v>57</v>
      </c>
      <c r="M600" s="752" t="s">
        <v>40</v>
      </c>
      <c r="N600" s="752" t="s">
        <v>48</v>
      </c>
      <c r="O600" s="752" t="s">
        <v>48</v>
      </c>
      <c r="P600" s="752" t="s">
        <v>49</v>
      </c>
      <c r="Q600" s="753">
        <v>0</v>
      </c>
      <c r="R600" s="753">
        <v>0</v>
      </c>
      <c r="S600" s="753">
        <v>0</v>
      </c>
      <c r="T600" s="753">
        <v>0</v>
      </c>
      <c r="U600" s="753">
        <v>0</v>
      </c>
      <c r="V600" s="751">
        <v>2019</v>
      </c>
      <c r="W600" s="222"/>
      <c r="X600" s="186" t="str">
        <f t="shared" si="31"/>
        <v/>
      </c>
      <c r="Y600" s="178" t="str">
        <f t="shared" si="29"/>
        <v/>
      </c>
      <c r="Z600" s="178" t="str">
        <f t="shared" si="30"/>
        <v/>
      </c>
      <c r="AA600" s="44"/>
      <c r="AB600" s="65"/>
    </row>
    <row r="601" spans="1:28" hidden="1">
      <c r="A601" s="751">
        <v>10617</v>
      </c>
      <c r="B601" s="752" t="s">
        <v>56</v>
      </c>
      <c r="C601" s="751" t="s">
        <v>2960</v>
      </c>
      <c r="D601" s="752" t="s">
        <v>411</v>
      </c>
      <c r="E601" s="752" t="s">
        <v>1232</v>
      </c>
      <c r="F601" s="751">
        <v>58338</v>
      </c>
      <c r="G601" s="752" t="s">
        <v>59</v>
      </c>
      <c r="H601" s="752" t="s">
        <v>1244</v>
      </c>
      <c r="I601" s="752" t="s">
        <v>60</v>
      </c>
      <c r="J601" s="751">
        <v>22</v>
      </c>
      <c r="K601" s="751">
        <v>3</v>
      </c>
      <c r="L601" s="752" t="s">
        <v>57</v>
      </c>
      <c r="M601" s="752" t="s">
        <v>40</v>
      </c>
      <c r="N601" s="752" t="s">
        <v>41</v>
      </c>
      <c r="O601" s="752" t="s">
        <v>41</v>
      </c>
      <c r="P601" s="752" t="s">
        <v>1091</v>
      </c>
      <c r="Q601" s="753">
        <v>805</v>
      </c>
      <c r="R601" s="753">
        <v>142</v>
      </c>
      <c r="S601" s="753">
        <v>820</v>
      </c>
      <c r="T601" s="753">
        <v>145</v>
      </c>
      <c r="U601" s="753">
        <v>23</v>
      </c>
      <c r="V601" s="751">
        <v>2019</v>
      </c>
      <c r="W601" s="222"/>
      <c r="X601" s="186">
        <f t="shared" si="31"/>
        <v>6.3043478260869561</v>
      </c>
      <c r="Y601" s="178" t="str">
        <f t="shared" si="29"/>
        <v/>
      </c>
      <c r="Z601" s="178" t="str">
        <f t="shared" si="30"/>
        <v/>
      </c>
      <c r="AA601" s="44"/>
      <c r="AB601" s="65"/>
    </row>
    <row r="602" spans="1:28" hidden="1">
      <c r="A602" s="751">
        <v>10617</v>
      </c>
      <c r="B602" s="752" t="s">
        <v>56</v>
      </c>
      <c r="C602" s="751" t="s">
        <v>2960</v>
      </c>
      <c r="D602" s="752" t="s">
        <v>411</v>
      </c>
      <c r="E602" s="752" t="s">
        <v>1232</v>
      </c>
      <c r="F602" s="751">
        <v>58338</v>
      </c>
      <c r="G602" s="752" t="s">
        <v>59</v>
      </c>
      <c r="H602" s="752" t="s">
        <v>1244</v>
      </c>
      <c r="I602" s="752" t="s">
        <v>60</v>
      </c>
      <c r="J602" s="751">
        <v>22</v>
      </c>
      <c r="K602" s="751">
        <v>3</v>
      </c>
      <c r="L602" s="752" t="s">
        <v>57</v>
      </c>
      <c r="M602" s="752" t="s">
        <v>43</v>
      </c>
      <c r="N602" s="752" t="s">
        <v>48</v>
      </c>
      <c r="O602" s="752" t="s">
        <v>48</v>
      </c>
      <c r="P602" s="752" t="s">
        <v>49</v>
      </c>
      <c r="Q602" s="753">
        <v>0</v>
      </c>
      <c r="R602" s="753">
        <v>0</v>
      </c>
      <c r="S602" s="753">
        <v>0</v>
      </c>
      <c r="T602" s="753">
        <v>0</v>
      </c>
      <c r="U602" s="753">
        <v>0</v>
      </c>
      <c r="V602" s="751">
        <v>2019</v>
      </c>
      <c r="W602" s="222"/>
      <c r="X602" s="186" t="str">
        <f t="shared" si="31"/>
        <v/>
      </c>
      <c r="Y602" s="178" t="str">
        <f t="shared" si="29"/>
        <v/>
      </c>
      <c r="Z602" s="178" t="str">
        <f t="shared" si="30"/>
        <v/>
      </c>
      <c r="AA602" s="44"/>
      <c r="AB602" s="65"/>
    </row>
    <row r="603" spans="1:28" hidden="1">
      <c r="A603" s="751">
        <v>10617</v>
      </c>
      <c r="B603" s="752" t="s">
        <v>56</v>
      </c>
      <c r="C603" s="751" t="s">
        <v>2960</v>
      </c>
      <c r="D603" s="752" t="s">
        <v>411</v>
      </c>
      <c r="E603" s="752" t="s">
        <v>1232</v>
      </c>
      <c r="F603" s="751">
        <v>58338</v>
      </c>
      <c r="G603" s="752" t="s">
        <v>59</v>
      </c>
      <c r="H603" s="752" t="s">
        <v>1244</v>
      </c>
      <c r="I603" s="752" t="s">
        <v>60</v>
      </c>
      <c r="J603" s="751">
        <v>22</v>
      </c>
      <c r="K603" s="751">
        <v>3</v>
      </c>
      <c r="L603" s="752" t="s">
        <v>57</v>
      </c>
      <c r="M603" s="752" t="s">
        <v>43</v>
      </c>
      <c r="N603" s="752" t="s">
        <v>41</v>
      </c>
      <c r="O603" s="752" t="s">
        <v>41</v>
      </c>
      <c r="P603" s="752" t="s">
        <v>1091</v>
      </c>
      <c r="Q603" s="753">
        <v>17992</v>
      </c>
      <c r="R603" s="753">
        <v>12421</v>
      </c>
      <c r="S603" s="753">
        <v>18333</v>
      </c>
      <c r="T603" s="753">
        <v>12656</v>
      </c>
      <c r="U603" s="753">
        <v>1889</v>
      </c>
      <c r="V603" s="751">
        <v>2019</v>
      </c>
      <c r="W603" s="222"/>
      <c r="X603" s="186">
        <f t="shared" si="31"/>
        <v>6.6998411858125992</v>
      </c>
      <c r="Y603" s="178" t="str">
        <f t="shared" si="29"/>
        <v/>
      </c>
      <c r="Z603" s="178" t="str">
        <f t="shared" si="30"/>
        <v/>
      </c>
      <c r="AA603" s="44"/>
      <c r="AB603" s="65"/>
    </row>
    <row r="604" spans="1:28" hidden="1">
      <c r="A604" s="751">
        <v>10620</v>
      </c>
      <c r="B604" s="752" t="s">
        <v>35</v>
      </c>
      <c r="C604" s="751" t="s">
        <v>2960</v>
      </c>
      <c r="D604" s="752" t="s">
        <v>856</v>
      </c>
      <c r="E604" s="752" t="s">
        <v>856</v>
      </c>
      <c r="F604" s="751">
        <v>3085</v>
      </c>
      <c r="G604" s="752" t="s">
        <v>59</v>
      </c>
      <c r="H604" s="752" t="s">
        <v>1244</v>
      </c>
      <c r="I604" s="752" t="s">
        <v>60</v>
      </c>
      <c r="J604" s="751">
        <v>22</v>
      </c>
      <c r="K604" s="751">
        <v>2</v>
      </c>
      <c r="L604" s="752" t="s">
        <v>54</v>
      </c>
      <c r="M604" s="752" t="s">
        <v>40</v>
      </c>
      <c r="N604" s="752" t="s">
        <v>48</v>
      </c>
      <c r="O604" s="752" t="s">
        <v>48</v>
      </c>
      <c r="P604" s="752" t="s">
        <v>49</v>
      </c>
      <c r="Q604" s="753">
        <v>0</v>
      </c>
      <c r="R604" s="753">
        <v>0</v>
      </c>
      <c r="S604" s="753">
        <v>0</v>
      </c>
      <c r="T604" s="753">
        <v>0</v>
      </c>
      <c r="U604" s="753">
        <v>0</v>
      </c>
      <c r="V604" s="751">
        <v>2019</v>
      </c>
      <c r="W604" s="222" t="s">
        <v>2666</v>
      </c>
      <c r="X604" s="186" t="str">
        <f t="shared" si="31"/>
        <v/>
      </c>
      <c r="Y604" s="178" t="str">
        <f t="shared" si="29"/>
        <v/>
      </c>
      <c r="Z604" s="178" t="str">
        <f t="shared" si="30"/>
        <v/>
      </c>
      <c r="AA604" s="44"/>
      <c r="AB604" s="65"/>
    </row>
    <row r="605" spans="1:28" hidden="1">
      <c r="A605" s="751">
        <v>10620</v>
      </c>
      <c r="B605" s="752" t="s">
        <v>35</v>
      </c>
      <c r="C605" s="751" t="s">
        <v>2960</v>
      </c>
      <c r="D605" s="752" t="s">
        <v>856</v>
      </c>
      <c r="E605" s="752" t="s">
        <v>856</v>
      </c>
      <c r="F605" s="751">
        <v>3085</v>
      </c>
      <c r="G605" s="752" t="s">
        <v>59</v>
      </c>
      <c r="H605" s="752" t="s">
        <v>1244</v>
      </c>
      <c r="I605" s="752" t="s">
        <v>60</v>
      </c>
      <c r="J605" s="751">
        <v>22</v>
      </c>
      <c r="K605" s="751">
        <v>2</v>
      </c>
      <c r="L605" s="752" t="s">
        <v>54</v>
      </c>
      <c r="M605" s="752" t="s">
        <v>40</v>
      </c>
      <c r="N605" s="752" t="s">
        <v>41</v>
      </c>
      <c r="O605" s="752" t="s">
        <v>41</v>
      </c>
      <c r="P605" s="752" t="s">
        <v>1091</v>
      </c>
      <c r="Q605" s="753">
        <v>2074</v>
      </c>
      <c r="R605" s="753">
        <v>2074</v>
      </c>
      <c r="S605" s="753">
        <v>2139</v>
      </c>
      <c r="T605" s="753">
        <v>2139</v>
      </c>
      <c r="U605" s="753">
        <v>956</v>
      </c>
      <c r="V605" s="751">
        <v>2019</v>
      </c>
      <c r="W605" s="222" t="s">
        <v>2666</v>
      </c>
      <c r="X605" s="186">
        <f t="shared" si="31"/>
        <v>2.23744769874477</v>
      </c>
      <c r="Y605" s="178" t="str">
        <f t="shared" si="29"/>
        <v/>
      </c>
      <c r="Z605" s="178" t="str">
        <f t="shared" si="30"/>
        <v/>
      </c>
      <c r="AA605" s="44"/>
      <c r="AB605" s="65"/>
    </row>
    <row r="606" spans="1:28" hidden="1">
      <c r="A606" s="751">
        <v>10620</v>
      </c>
      <c r="B606" s="752" t="s">
        <v>35</v>
      </c>
      <c r="C606" s="751" t="s">
        <v>2960</v>
      </c>
      <c r="D606" s="752" t="s">
        <v>856</v>
      </c>
      <c r="E606" s="752" t="s">
        <v>856</v>
      </c>
      <c r="F606" s="751">
        <v>3085</v>
      </c>
      <c r="G606" s="752" t="s">
        <v>59</v>
      </c>
      <c r="H606" s="752" t="s">
        <v>1244</v>
      </c>
      <c r="I606" s="752" t="s">
        <v>60</v>
      </c>
      <c r="J606" s="751">
        <v>22</v>
      </c>
      <c r="K606" s="751">
        <v>2</v>
      </c>
      <c r="L606" s="752" t="s">
        <v>54</v>
      </c>
      <c r="M606" s="752" t="s">
        <v>43</v>
      </c>
      <c r="N606" s="752" t="s">
        <v>48</v>
      </c>
      <c r="O606" s="752" t="s">
        <v>48</v>
      </c>
      <c r="P606" s="752" t="s">
        <v>49</v>
      </c>
      <c r="Q606" s="753">
        <v>0</v>
      </c>
      <c r="R606" s="753">
        <v>0</v>
      </c>
      <c r="S606" s="753">
        <v>0</v>
      </c>
      <c r="T606" s="753">
        <v>0</v>
      </c>
      <c r="U606" s="753">
        <v>0</v>
      </c>
      <c r="V606" s="751">
        <v>2019</v>
      </c>
      <c r="W606" s="222" t="s">
        <v>2666</v>
      </c>
      <c r="X606" s="186" t="str">
        <f t="shared" si="31"/>
        <v/>
      </c>
      <c r="Y606" s="178" t="str">
        <f t="shared" si="29"/>
        <v/>
      </c>
      <c r="Z606" s="178" t="str">
        <f t="shared" si="30"/>
        <v/>
      </c>
      <c r="AA606" s="44"/>
      <c r="AB606" s="65"/>
    </row>
    <row r="607" spans="1:28" hidden="1">
      <c r="A607" s="751">
        <v>10620</v>
      </c>
      <c r="B607" s="752" t="s">
        <v>35</v>
      </c>
      <c r="C607" s="751" t="s">
        <v>2960</v>
      </c>
      <c r="D607" s="752" t="s">
        <v>856</v>
      </c>
      <c r="E607" s="752" t="s">
        <v>856</v>
      </c>
      <c r="F607" s="751">
        <v>3085</v>
      </c>
      <c r="G607" s="752" t="s">
        <v>59</v>
      </c>
      <c r="H607" s="752" t="s">
        <v>1244</v>
      </c>
      <c r="I607" s="752" t="s">
        <v>60</v>
      </c>
      <c r="J607" s="751">
        <v>22</v>
      </c>
      <c r="K607" s="751">
        <v>2</v>
      </c>
      <c r="L607" s="752" t="s">
        <v>54</v>
      </c>
      <c r="M607" s="752" t="s">
        <v>43</v>
      </c>
      <c r="N607" s="752" t="s">
        <v>41</v>
      </c>
      <c r="O607" s="752" t="s">
        <v>41</v>
      </c>
      <c r="P607" s="752" t="s">
        <v>1091</v>
      </c>
      <c r="Q607" s="753">
        <v>28636</v>
      </c>
      <c r="R607" s="753">
        <v>28636</v>
      </c>
      <c r="S607" s="753">
        <v>29559</v>
      </c>
      <c r="T607" s="753">
        <v>29559</v>
      </c>
      <c r="U607" s="753">
        <v>2207</v>
      </c>
      <c r="V607" s="751">
        <v>2019</v>
      </c>
      <c r="W607" s="222" t="s">
        <v>2666</v>
      </c>
      <c r="X607" s="186">
        <f t="shared" si="31"/>
        <v>13.393294064340735</v>
      </c>
      <c r="Y607" s="178" t="str">
        <f t="shared" si="29"/>
        <v/>
      </c>
      <c r="Z607" s="178" t="str">
        <f t="shared" si="30"/>
        <v/>
      </c>
      <c r="AA607" s="44"/>
      <c r="AB607" s="65"/>
    </row>
    <row r="608" spans="1:28" hidden="1">
      <c r="A608" s="751">
        <v>10621</v>
      </c>
      <c r="B608" s="752" t="s">
        <v>35</v>
      </c>
      <c r="C608" s="751" t="s">
        <v>2960</v>
      </c>
      <c r="D608" s="752" t="s">
        <v>857</v>
      </c>
      <c r="E608" s="752" t="s">
        <v>1233</v>
      </c>
      <c r="F608" s="751">
        <v>58337</v>
      </c>
      <c r="G608" s="752" t="s">
        <v>59</v>
      </c>
      <c r="H608" s="752" t="s">
        <v>1244</v>
      </c>
      <c r="I608" s="752" t="s">
        <v>60</v>
      </c>
      <c r="J608" s="751">
        <v>22</v>
      </c>
      <c r="K608" s="751">
        <v>2</v>
      </c>
      <c r="L608" s="752" t="s">
        <v>54</v>
      </c>
      <c r="M608" s="752" t="s">
        <v>40</v>
      </c>
      <c r="N608" s="752" t="s">
        <v>48</v>
      </c>
      <c r="O608" s="752" t="s">
        <v>48</v>
      </c>
      <c r="P608" s="752" t="s">
        <v>49</v>
      </c>
      <c r="Q608" s="753">
        <v>0</v>
      </c>
      <c r="R608" s="753">
        <v>0</v>
      </c>
      <c r="S608" s="753">
        <v>0</v>
      </c>
      <c r="T608" s="753">
        <v>0</v>
      </c>
      <c r="U608" s="753">
        <v>0</v>
      </c>
      <c r="V608" s="751">
        <v>2019</v>
      </c>
      <c r="W608" s="222" t="s">
        <v>2666</v>
      </c>
      <c r="X608" s="186" t="str">
        <f t="shared" si="31"/>
        <v/>
      </c>
      <c r="Y608" s="178" t="str">
        <f t="shared" si="29"/>
        <v/>
      </c>
      <c r="Z608" s="178" t="str">
        <f t="shared" si="30"/>
        <v/>
      </c>
      <c r="AA608" s="44"/>
      <c r="AB608" s="65"/>
    </row>
    <row r="609" spans="1:28" hidden="1">
      <c r="A609" s="751">
        <v>10621</v>
      </c>
      <c r="B609" s="752" t="s">
        <v>35</v>
      </c>
      <c r="C609" s="751" t="s">
        <v>2960</v>
      </c>
      <c r="D609" s="752" t="s">
        <v>857</v>
      </c>
      <c r="E609" s="752" t="s">
        <v>1233</v>
      </c>
      <c r="F609" s="751">
        <v>58337</v>
      </c>
      <c r="G609" s="752" t="s">
        <v>59</v>
      </c>
      <c r="H609" s="752" t="s">
        <v>1244</v>
      </c>
      <c r="I609" s="752" t="s">
        <v>60</v>
      </c>
      <c r="J609" s="751">
        <v>22</v>
      </c>
      <c r="K609" s="751">
        <v>2</v>
      </c>
      <c r="L609" s="752" t="s">
        <v>54</v>
      </c>
      <c r="M609" s="752" t="s">
        <v>40</v>
      </c>
      <c r="N609" s="752" t="s">
        <v>41</v>
      </c>
      <c r="O609" s="752" t="s">
        <v>41</v>
      </c>
      <c r="P609" s="752" t="s">
        <v>1091</v>
      </c>
      <c r="Q609" s="753">
        <v>1735</v>
      </c>
      <c r="R609" s="753">
        <v>1735</v>
      </c>
      <c r="S609" s="753">
        <v>1787</v>
      </c>
      <c r="T609" s="753">
        <v>1787</v>
      </c>
      <c r="U609" s="753">
        <v>211</v>
      </c>
      <c r="V609" s="751">
        <v>2019</v>
      </c>
      <c r="W609" s="222" t="s">
        <v>2666</v>
      </c>
      <c r="X609" s="186">
        <f t="shared" si="31"/>
        <v>8.4691943127962084</v>
      </c>
      <c r="Y609" s="178" t="str">
        <f t="shared" si="29"/>
        <v/>
      </c>
      <c r="Z609" s="178" t="str">
        <f t="shared" si="30"/>
        <v/>
      </c>
      <c r="AA609" s="44"/>
      <c r="AB609" s="65"/>
    </row>
    <row r="610" spans="1:28" hidden="1">
      <c r="A610" s="751">
        <v>10621</v>
      </c>
      <c r="B610" s="752" t="s">
        <v>35</v>
      </c>
      <c r="C610" s="751" t="s">
        <v>2960</v>
      </c>
      <c r="D610" s="752" t="s">
        <v>857</v>
      </c>
      <c r="E610" s="752" t="s">
        <v>1233</v>
      </c>
      <c r="F610" s="751">
        <v>58337</v>
      </c>
      <c r="G610" s="752" t="s">
        <v>59</v>
      </c>
      <c r="H610" s="752" t="s">
        <v>1244</v>
      </c>
      <c r="I610" s="752" t="s">
        <v>60</v>
      </c>
      <c r="J610" s="751">
        <v>22</v>
      </c>
      <c r="K610" s="751">
        <v>2</v>
      </c>
      <c r="L610" s="752" t="s">
        <v>54</v>
      </c>
      <c r="M610" s="752" t="s">
        <v>43</v>
      </c>
      <c r="N610" s="752" t="s">
        <v>48</v>
      </c>
      <c r="O610" s="752" t="s">
        <v>48</v>
      </c>
      <c r="P610" s="752" t="s">
        <v>49</v>
      </c>
      <c r="Q610" s="753">
        <v>0</v>
      </c>
      <c r="R610" s="753">
        <v>0</v>
      </c>
      <c r="S610" s="753">
        <v>0</v>
      </c>
      <c r="T610" s="753">
        <v>0</v>
      </c>
      <c r="U610" s="753">
        <v>0</v>
      </c>
      <c r="V610" s="751">
        <v>2019</v>
      </c>
      <c r="W610" s="222" t="s">
        <v>2666</v>
      </c>
      <c r="X610" s="186" t="str">
        <f t="shared" si="31"/>
        <v/>
      </c>
      <c r="Y610" s="178" t="str">
        <f t="shared" si="29"/>
        <v/>
      </c>
      <c r="Z610" s="178" t="str">
        <f t="shared" si="30"/>
        <v/>
      </c>
      <c r="AA610" s="44"/>
      <c r="AB610" s="65"/>
    </row>
    <row r="611" spans="1:28" hidden="1">
      <c r="A611" s="751">
        <v>10621</v>
      </c>
      <c r="B611" s="752" t="s">
        <v>35</v>
      </c>
      <c r="C611" s="751" t="s">
        <v>2960</v>
      </c>
      <c r="D611" s="752" t="s">
        <v>857</v>
      </c>
      <c r="E611" s="752" t="s">
        <v>1233</v>
      </c>
      <c r="F611" s="751">
        <v>58337</v>
      </c>
      <c r="G611" s="752" t="s">
        <v>59</v>
      </c>
      <c r="H611" s="752" t="s">
        <v>1244</v>
      </c>
      <c r="I611" s="752" t="s">
        <v>60</v>
      </c>
      <c r="J611" s="751">
        <v>22</v>
      </c>
      <c r="K611" s="751">
        <v>2</v>
      </c>
      <c r="L611" s="752" t="s">
        <v>54</v>
      </c>
      <c r="M611" s="752" t="s">
        <v>43</v>
      </c>
      <c r="N611" s="752" t="s">
        <v>41</v>
      </c>
      <c r="O611" s="752" t="s">
        <v>41</v>
      </c>
      <c r="P611" s="752" t="s">
        <v>1091</v>
      </c>
      <c r="Q611" s="753">
        <v>120870</v>
      </c>
      <c r="R611" s="753">
        <v>120870</v>
      </c>
      <c r="S611" s="753">
        <v>124495</v>
      </c>
      <c r="T611" s="753">
        <v>124495</v>
      </c>
      <c r="U611" s="753">
        <v>13417</v>
      </c>
      <c r="V611" s="751">
        <v>2019</v>
      </c>
      <c r="W611" s="222" t="s">
        <v>2666</v>
      </c>
      <c r="X611" s="186">
        <f t="shared" si="31"/>
        <v>9.2788999031079982</v>
      </c>
      <c r="Y611" s="86" t="str">
        <f t="shared" si="29"/>
        <v/>
      </c>
      <c r="Z611" s="86" t="str">
        <f t="shared" si="30"/>
        <v/>
      </c>
      <c r="AA611" s="44"/>
      <c r="AB611" s="65"/>
    </row>
    <row r="612" spans="1:28" hidden="1">
      <c r="A612" s="751">
        <v>10642</v>
      </c>
      <c r="B612" s="752" t="s">
        <v>35</v>
      </c>
      <c r="C612" s="751" t="s">
        <v>2960</v>
      </c>
      <c r="D612" s="752" t="s">
        <v>412</v>
      </c>
      <c r="E612" s="752" t="s">
        <v>413</v>
      </c>
      <c r="F612" s="751">
        <v>473</v>
      </c>
      <c r="G612" s="752" t="s">
        <v>59</v>
      </c>
      <c r="H612" s="752" t="s">
        <v>1244</v>
      </c>
      <c r="I612" s="752" t="s">
        <v>60</v>
      </c>
      <c r="J612" s="751">
        <v>22</v>
      </c>
      <c r="K612" s="751">
        <v>2</v>
      </c>
      <c r="L612" s="752" t="s">
        <v>54</v>
      </c>
      <c r="M612" s="752" t="s">
        <v>44</v>
      </c>
      <c r="N612" s="752" t="s">
        <v>48</v>
      </c>
      <c r="O612" s="752" t="s">
        <v>48</v>
      </c>
      <c r="P612" s="752" t="s">
        <v>49</v>
      </c>
      <c r="Q612" s="753">
        <v>2152</v>
      </c>
      <c r="R612" s="753">
        <v>2152</v>
      </c>
      <c r="S612" s="753">
        <v>12654</v>
      </c>
      <c r="T612" s="753">
        <v>12654</v>
      </c>
      <c r="U612" s="753">
        <v>602.71</v>
      </c>
      <c r="V612" s="751">
        <v>2019</v>
      </c>
      <c r="W612" s="222"/>
      <c r="X612" s="186">
        <f t="shared" si="31"/>
        <v>20.99517180733686</v>
      </c>
      <c r="Y612" s="86" t="str">
        <f t="shared" si="29"/>
        <v/>
      </c>
      <c r="Z612" s="86" t="str">
        <f t="shared" si="30"/>
        <v/>
      </c>
      <c r="AA612" s="44"/>
      <c r="AB612" s="65"/>
    </row>
    <row r="613" spans="1:28" ht="25" hidden="1">
      <c r="A613" s="751">
        <v>10642</v>
      </c>
      <c r="B613" s="752" t="s">
        <v>35</v>
      </c>
      <c r="C613" s="751" t="s">
        <v>2960</v>
      </c>
      <c r="D613" s="752" t="s">
        <v>412</v>
      </c>
      <c r="E613" s="752" t="s">
        <v>413</v>
      </c>
      <c r="F613" s="751">
        <v>473</v>
      </c>
      <c r="G613" s="752" t="s">
        <v>59</v>
      </c>
      <c r="H613" s="752" t="s">
        <v>1244</v>
      </c>
      <c r="I613" s="752" t="s">
        <v>60</v>
      </c>
      <c r="J613" s="751">
        <v>22</v>
      </c>
      <c r="K613" s="751">
        <v>2</v>
      </c>
      <c r="L613" s="752" t="s">
        <v>54</v>
      </c>
      <c r="M613" s="752" t="s">
        <v>44</v>
      </c>
      <c r="N613" s="752" t="s">
        <v>18</v>
      </c>
      <c r="O613" s="752" t="s">
        <v>66</v>
      </c>
      <c r="P613" s="752" t="s">
        <v>47</v>
      </c>
      <c r="Q613" s="753">
        <v>610217</v>
      </c>
      <c r="R613" s="753">
        <v>610217</v>
      </c>
      <c r="S613" s="753">
        <v>4501571</v>
      </c>
      <c r="T613" s="753">
        <v>4501571</v>
      </c>
      <c r="U613" s="753">
        <v>243818.89</v>
      </c>
      <c r="V613" s="751">
        <v>2019</v>
      </c>
      <c r="W613" s="222"/>
      <c r="X613" s="186">
        <f t="shared" si="31"/>
        <v>18.462765538798081</v>
      </c>
      <c r="Y613" s="86" t="str">
        <f t="shared" si="29"/>
        <v/>
      </c>
      <c r="Z613" s="86" t="str">
        <f t="shared" si="30"/>
        <v/>
      </c>
      <c r="AA613" s="44"/>
      <c r="AB613" s="65"/>
    </row>
    <row r="614" spans="1:28" ht="25" hidden="1">
      <c r="A614" s="751">
        <v>10642</v>
      </c>
      <c r="B614" s="752" t="s">
        <v>35</v>
      </c>
      <c r="C614" s="751" t="s">
        <v>2960</v>
      </c>
      <c r="D614" s="752" t="s">
        <v>412</v>
      </c>
      <c r="E614" s="752" t="s">
        <v>413</v>
      </c>
      <c r="F614" s="751">
        <v>473</v>
      </c>
      <c r="G614" s="752" t="s">
        <v>59</v>
      </c>
      <c r="H614" s="752" t="s">
        <v>1244</v>
      </c>
      <c r="I614" s="752" t="s">
        <v>60</v>
      </c>
      <c r="J614" s="751">
        <v>22</v>
      </c>
      <c r="K614" s="751">
        <v>2</v>
      </c>
      <c r="L614" s="752" t="s">
        <v>54</v>
      </c>
      <c r="M614" s="752" t="s">
        <v>44</v>
      </c>
      <c r="N614" s="752" t="s">
        <v>19</v>
      </c>
      <c r="O614" s="752" t="s">
        <v>84</v>
      </c>
      <c r="P614" s="752" t="s">
        <v>47</v>
      </c>
      <c r="Q614" s="753">
        <v>390141</v>
      </c>
      <c r="R614" s="753">
        <v>390141</v>
      </c>
      <c r="S614" s="753">
        <v>5501943</v>
      </c>
      <c r="T614" s="753">
        <v>5501943</v>
      </c>
      <c r="U614" s="753">
        <v>298002.40000000002</v>
      </c>
      <c r="V614" s="751">
        <v>2019</v>
      </c>
      <c r="W614" s="222"/>
      <c r="X614" s="186"/>
      <c r="Y614" s="86" t="str">
        <f t="shared" si="29"/>
        <v/>
      </c>
      <c r="Z614" s="86" t="str">
        <f t="shared" si="30"/>
        <v/>
      </c>
      <c r="AA614" s="44"/>
      <c r="AB614" s="65"/>
    </row>
    <row r="615" spans="1:28" ht="25" hidden="1">
      <c r="A615" s="751">
        <v>10642</v>
      </c>
      <c r="B615" s="752" t="s">
        <v>35</v>
      </c>
      <c r="C615" s="751" t="s">
        <v>2960</v>
      </c>
      <c r="D615" s="752" t="s">
        <v>412</v>
      </c>
      <c r="E615" s="752" t="s">
        <v>413</v>
      </c>
      <c r="F615" s="751">
        <v>473</v>
      </c>
      <c r="G615" s="752" t="s">
        <v>59</v>
      </c>
      <c r="H615" s="752" t="s">
        <v>1244</v>
      </c>
      <c r="I615" s="752" t="s">
        <v>60</v>
      </c>
      <c r="J615" s="751">
        <v>22</v>
      </c>
      <c r="K615" s="751">
        <v>2</v>
      </c>
      <c r="L615" s="752" t="s">
        <v>54</v>
      </c>
      <c r="M615" s="752" t="s">
        <v>44</v>
      </c>
      <c r="N615" s="752" t="s">
        <v>71</v>
      </c>
      <c r="O615" s="752" t="s">
        <v>72</v>
      </c>
      <c r="P615" s="752" t="s">
        <v>47</v>
      </c>
      <c r="Q615" s="753">
        <v>0</v>
      </c>
      <c r="R615" s="753">
        <v>0</v>
      </c>
      <c r="S615" s="753">
        <v>0</v>
      </c>
      <c r="T615" s="753">
        <v>0</v>
      </c>
      <c r="U615" s="753">
        <v>0</v>
      </c>
      <c r="V615" s="751">
        <v>2019</v>
      </c>
      <c r="W615" s="222"/>
      <c r="X615" s="186"/>
      <c r="Y615" s="86" t="str">
        <f t="shared" si="29"/>
        <v/>
      </c>
      <c r="Z615" s="86" t="str">
        <f t="shared" si="30"/>
        <v/>
      </c>
      <c r="AA615" s="44"/>
      <c r="AB615" s="65"/>
    </row>
    <row r="616" spans="1:28" ht="25" hidden="1">
      <c r="A616" s="751">
        <v>10646</v>
      </c>
      <c r="B616" s="752" t="s">
        <v>35</v>
      </c>
      <c r="C616" s="751" t="s">
        <v>2960</v>
      </c>
      <c r="D616" s="752" t="s">
        <v>858</v>
      </c>
      <c r="E616" s="752" t="s">
        <v>858</v>
      </c>
      <c r="F616" s="751">
        <v>528</v>
      </c>
      <c r="G616" s="752" t="s">
        <v>43</v>
      </c>
      <c r="H616" s="752" t="s">
        <v>1245</v>
      </c>
      <c r="I616" s="752" t="s">
        <v>60</v>
      </c>
      <c r="J616" s="751">
        <v>22</v>
      </c>
      <c r="K616" s="751">
        <v>2</v>
      </c>
      <c r="L616" s="752" t="s">
        <v>54</v>
      </c>
      <c r="M616" s="752" t="s">
        <v>44</v>
      </c>
      <c r="N616" s="752" t="s">
        <v>48</v>
      </c>
      <c r="O616" s="752" t="s">
        <v>48</v>
      </c>
      <c r="P616" s="752" t="s">
        <v>49</v>
      </c>
      <c r="Q616" s="753">
        <v>4838</v>
      </c>
      <c r="R616" s="753">
        <v>4838</v>
      </c>
      <c r="S616" s="753">
        <v>28181</v>
      </c>
      <c r="T616" s="753">
        <v>28181</v>
      </c>
      <c r="U616" s="753">
        <v>1438.444</v>
      </c>
      <c r="V616" s="751">
        <v>2019</v>
      </c>
      <c r="W616" s="222"/>
      <c r="X616" s="186">
        <f>IF(OR(K616&gt;3,T616=0,NOT(U616&gt;0)),"",T616/U616)</f>
        <v>19.591308386005991</v>
      </c>
      <c r="Y616" s="178" t="str">
        <f t="shared" si="29"/>
        <v/>
      </c>
      <c r="Z616" s="178" t="str">
        <f t="shared" si="30"/>
        <v/>
      </c>
      <c r="AA616" s="44"/>
      <c r="AB616" s="65"/>
    </row>
    <row r="617" spans="1:28" ht="25" hidden="1">
      <c r="A617" s="751">
        <v>10646</v>
      </c>
      <c r="B617" s="752" t="s">
        <v>35</v>
      </c>
      <c r="C617" s="751" t="s">
        <v>2960</v>
      </c>
      <c r="D617" s="752" t="s">
        <v>858</v>
      </c>
      <c r="E617" s="752" t="s">
        <v>858</v>
      </c>
      <c r="F617" s="751">
        <v>528</v>
      </c>
      <c r="G617" s="752" t="s">
        <v>43</v>
      </c>
      <c r="H617" s="752" t="s">
        <v>1245</v>
      </c>
      <c r="I617" s="752" t="s">
        <v>60</v>
      </c>
      <c r="J617" s="751">
        <v>22</v>
      </c>
      <c r="K617" s="751">
        <v>2</v>
      </c>
      <c r="L617" s="752" t="s">
        <v>54</v>
      </c>
      <c r="M617" s="752" t="s">
        <v>44</v>
      </c>
      <c r="N617" s="752" t="s">
        <v>18</v>
      </c>
      <c r="O617" s="752" t="s">
        <v>66</v>
      </c>
      <c r="P617" s="752" t="s">
        <v>47</v>
      </c>
      <c r="Q617" s="753">
        <v>153923</v>
      </c>
      <c r="R617" s="753">
        <v>153923</v>
      </c>
      <c r="S617" s="753">
        <v>1135502</v>
      </c>
      <c r="T617" s="753">
        <v>1135502</v>
      </c>
      <c r="U617" s="753">
        <v>58207.502</v>
      </c>
      <c r="V617" s="751">
        <v>2019</v>
      </c>
      <c r="W617" s="222"/>
      <c r="X617" s="186">
        <f>IF(OR(K617&gt;3,T617=0,NOT(U617&gt;0)),"",T617/U617)</f>
        <v>19.50782907673997</v>
      </c>
      <c r="Y617" s="178" t="str">
        <f t="shared" si="29"/>
        <v/>
      </c>
      <c r="Z617" s="178" t="str">
        <f t="shared" si="30"/>
        <v/>
      </c>
      <c r="AA617" s="44"/>
      <c r="AB617" s="65"/>
    </row>
    <row r="618" spans="1:28" ht="25" hidden="1">
      <c r="A618" s="751">
        <v>10646</v>
      </c>
      <c r="B618" s="752" t="s">
        <v>35</v>
      </c>
      <c r="C618" s="751" t="s">
        <v>2960</v>
      </c>
      <c r="D618" s="752" t="s">
        <v>858</v>
      </c>
      <c r="E618" s="752" t="s">
        <v>858</v>
      </c>
      <c r="F618" s="751">
        <v>528</v>
      </c>
      <c r="G618" s="752" t="s">
        <v>43</v>
      </c>
      <c r="H618" s="752" t="s">
        <v>1245</v>
      </c>
      <c r="I618" s="752" t="s">
        <v>60</v>
      </c>
      <c r="J618" s="751">
        <v>22</v>
      </c>
      <c r="K618" s="751">
        <v>2</v>
      </c>
      <c r="L618" s="752" t="s">
        <v>54</v>
      </c>
      <c r="M618" s="752" t="s">
        <v>44</v>
      </c>
      <c r="N618" s="752" t="s">
        <v>19</v>
      </c>
      <c r="O618" s="752" t="s">
        <v>84</v>
      </c>
      <c r="P618" s="752" t="s">
        <v>47</v>
      </c>
      <c r="Q618" s="753">
        <v>98410</v>
      </c>
      <c r="R618" s="753">
        <v>98410</v>
      </c>
      <c r="S618" s="753">
        <v>1387827</v>
      </c>
      <c r="T618" s="753">
        <v>1387827</v>
      </c>
      <c r="U618" s="753">
        <v>71142.054000000004</v>
      </c>
      <c r="V618" s="751">
        <v>2019</v>
      </c>
      <c r="W618" s="222"/>
      <c r="X618" s="186">
        <f>IF(OR(K618&gt;3,T618=0,NOT(U618&gt;0)),"",T618/U618)</f>
        <v>19.507828660668132</v>
      </c>
      <c r="Y618" s="178" t="str">
        <f t="shared" si="29"/>
        <v/>
      </c>
      <c r="Z618" s="178" t="str">
        <f t="shared" si="30"/>
        <v/>
      </c>
      <c r="AA618" s="44"/>
      <c r="AB618" s="65"/>
    </row>
    <row r="619" spans="1:28" hidden="1">
      <c r="A619" s="751">
        <v>10687</v>
      </c>
      <c r="B619" s="752" t="s">
        <v>35</v>
      </c>
      <c r="C619" s="751" t="s">
        <v>2960</v>
      </c>
      <c r="D619" s="752" t="s">
        <v>859</v>
      </c>
      <c r="E619" s="752" t="s">
        <v>840</v>
      </c>
      <c r="F619" s="751">
        <v>34688</v>
      </c>
      <c r="G619" s="752" t="s">
        <v>59</v>
      </c>
      <c r="H619" s="752" t="s">
        <v>1244</v>
      </c>
      <c r="I619" s="752" t="s">
        <v>60</v>
      </c>
      <c r="J619" s="751">
        <v>22</v>
      </c>
      <c r="K619" s="751">
        <v>2</v>
      </c>
      <c r="L619" s="752" t="s">
        <v>54</v>
      </c>
      <c r="M619" s="752" t="s">
        <v>37</v>
      </c>
      <c r="N619" s="752" t="s">
        <v>38</v>
      </c>
      <c r="O619" s="752" t="s">
        <v>39</v>
      </c>
      <c r="P619" s="752" t="s">
        <v>1238</v>
      </c>
      <c r="Q619" s="753">
        <v>0</v>
      </c>
      <c r="R619" s="753">
        <v>0</v>
      </c>
      <c r="S619" s="753">
        <v>43157</v>
      </c>
      <c r="T619" s="753">
        <v>43157</v>
      </c>
      <c r="U619" s="753">
        <v>4847</v>
      </c>
      <c r="V619" s="751">
        <v>2019</v>
      </c>
      <c r="W619" s="222"/>
      <c r="X619" s="186">
        <f>IF(OR(K619&gt;3,T619=0,NOT(U619&gt;0)),"",T619/U619)</f>
        <v>8.9038580565298115</v>
      </c>
      <c r="Y619" s="178" t="str">
        <f t="shared" si="29"/>
        <v/>
      </c>
      <c r="Z619" s="178" t="str">
        <f t="shared" si="30"/>
        <v/>
      </c>
      <c r="AA619" s="44"/>
      <c r="AB619" s="65"/>
    </row>
    <row r="620" spans="1:28" ht="25" hidden="1">
      <c r="A620" s="751">
        <v>10694</v>
      </c>
      <c r="B620" s="752" t="s">
        <v>35</v>
      </c>
      <c r="C620" s="751" t="s">
        <v>2960</v>
      </c>
      <c r="D620" s="752" t="s">
        <v>860</v>
      </c>
      <c r="E620" s="752" t="s">
        <v>861</v>
      </c>
      <c r="F620" s="751">
        <v>49911</v>
      </c>
      <c r="G620" s="752" t="s">
        <v>83</v>
      </c>
      <c r="H620" s="752" t="s">
        <v>1245</v>
      </c>
      <c r="I620" s="752" t="s">
        <v>60</v>
      </c>
      <c r="J620" s="751">
        <v>22</v>
      </c>
      <c r="K620" s="751">
        <v>2</v>
      </c>
      <c r="L620" s="752" t="s">
        <v>54</v>
      </c>
      <c r="M620" s="752" t="s">
        <v>37</v>
      </c>
      <c r="N620" s="752" t="s">
        <v>38</v>
      </c>
      <c r="O620" s="752" t="s">
        <v>39</v>
      </c>
      <c r="P620" s="752" t="s">
        <v>1238</v>
      </c>
      <c r="Q620" s="753">
        <v>0</v>
      </c>
      <c r="R620" s="753">
        <v>0</v>
      </c>
      <c r="S620" s="753">
        <v>55720</v>
      </c>
      <c r="T620" s="753">
        <v>55720</v>
      </c>
      <c r="U620" s="753">
        <v>6258</v>
      </c>
      <c r="V620" s="751">
        <v>2019</v>
      </c>
      <c r="W620" s="222"/>
      <c r="X620" s="186"/>
      <c r="Y620" s="178" t="str">
        <f t="shared" si="29"/>
        <v/>
      </c>
      <c r="Z620" s="178" t="str">
        <f t="shared" si="30"/>
        <v/>
      </c>
      <c r="AA620" s="44"/>
      <c r="AB620" s="65"/>
    </row>
    <row r="621" spans="1:28" hidden="1">
      <c r="A621" s="751">
        <v>10725</v>
      </c>
      <c r="B621" s="752" t="s">
        <v>56</v>
      </c>
      <c r="C621" s="751" t="s">
        <v>2960</v>
      </c>
      <c r="D621" s="752" t="s">
        <v>414</v>
      </c>
      <c r="E621" s="752" t="s">
        <v>415</v>
      </c>
      <c r="F621" s="751">
        <v>16909</v>
      </c>
      <c r="G621" s="752" t="s">
        <v>59</v>
      </c>
      <c r="H621" s="752" t="s">
        <v>1244</v>
      </c>
      <c r="I621" s="752" t="s">
        <v>60</v>
      </c>
      <c r="J621" s="751">
        <v>22</v>
      </c>
      <c r="K621" s="751">
        <v>3</v>
      </c>
      <c r="L621" s="752" t="s">
        <v>57</v>
      </c>
      <c r="M621" s="752" t="s">
        <v>40</v>
      </c>
      <c r="N621" s="752" t="s">
        <v>48</v>
      </c>
      <c r="O621" s="752" t="s">
        <v>48</v>
      </c>
      <c r="P621" s="752" t="s">
        <v>49</v>
      </c>
      <c r="Q621" s="753">
        <v>0</v>
      </c>
      <c r="R621" s="753">
        <v>0</v>
      </c>
      <c r="S621" s="753">
        <v>0</v>
      </c>
      <c r="T621" s="753">
        <v>0</v>
      </c>
      <c r="U621" s="753">
        <v>0</v>
      </c>
      <c r="V621" s="751">
        <v>2019</v>
      </c>
      <c r="W621" s="222"/>
      <c r="X621" s="186"/>
      <c r="Y621" s="178" t="str">
        <f t="shared" si="29"/>
        <v/>
      </c>
      <c r="Z621" s="178" t="str">
        <f t="shared" si="30"/>
        <v/>
      </c>
      <c r="AA621" s="44"/>
      <c r="AB621" s="65"/>
    </row>
    <row r="622" spans="1:28" hidden="1">
      <c r="A622" s="751">
        <v>10725</v>
      </c>
      <c r="B622" s="752" t="s">
        <v>56</v>
      </c>
      <c r="C622" s="751" t="s">
        <v>2960</v>
      </c>
      <c r="D622" s="752" t="s">
        <v>414</v>
      </c>
      <c r="E622" s="752" t="s">
        <v>415</v>
      </c>
      <c r="F622" s="751">
        <v>16909</v>
      </c>
      <c r="G622" s="752" t="s">
        <v>59</v>
      </c>
      <c r="H622" s="752" t="s">
        <v>1244</v>
      </c>
      <c r="I622" s="752" t="s">
        <v>60</v>
      </c>
      <c r="J622" s="751">
        <v>22</v>
      </c>
      <c r="K622" s="751">
        <v>3</v>
      </c>
      <c r="L622" s="752" t="s">
        <v>57</v>
      </c>
      <c r="M622" s="752" t="s">
        <v>40</v>
      </c>
      <c r="N622" s="752" t="s">
        <v>41</v>
      </c>
      <c r="O622" s="752" t="s">
        <v>41</v>
      </c>
      <c r="P622" s="752" t="s">
        <v>1091</v>
      </c>
      <c r="Q622" s="753">
        <v>16893</v>
      </c>
      <c r="R622" s="753">
        <v>16816</v>
      </c>
      <c r="S622" s="753">
        <v>17383</v>
      </c>
      <c r="T622" s="753">
        <v>17304</v>
      </c>
      <c r="U622" s="753">
        <v>34061</v>
      </c>
      <c r="V622" s="751">
        <v>2019</v>
      </c>
      <c r="W622" s="222"/>
      <c r="X622" s="186">
        <f t="shared" ref="X622:X627" si="32">IF(OR(K622&gt;3,T622=0,NOT(U622&gt;0)),"",T622/U622)</f>
        <v>0.50802971140013509</v>
      </c>
      <c r="Y622" s="178" t="str">
        <f t="shared" si="29"/>
        <v/>
      </c>
      <c r="Z622" s="178" t="str">
        <f t="shared" si="30"/>
        <v/>
      </c>
      <c r="AA622" s="44"/>
      <c r="AB622" s="65"/>
    </row>
    <row r="623" spans="1:28" hidden="1">
      <c r="A623" s="751">
        <v>10725</v>
      </c>
      <c r="B623" s="752" t="s">
        <v>56</v>
      </c>
      <c r="C623" s="751" t="s">
        <v>2960</v>
      </c>
      <c r="D623" s="752" t="s">
        <v>414</v>
      </c>
      <c r="E623" s="752" t="s">
        <v>415</v>
      </c>
      <c r="F623" s="751">
        <v>16909</v>
      </c>
      <c r="G623" s="752" t="s">
        <v>59</v>
      </c>
      <c r="H623" s="752" t="s">
        <v>1244</v>
      </c>
      <c r="I623" s="752" t="s">
        <v>60</v>
      </c>
      <c r="J623" s="751">
        <v>22</v>
      </c>
      <c r="K623" s="751">
        <v>3</v>
      </c>
      <c r="L623" s="752" t="s">
        <v>57</v>
      </c>
      <c r="M623" s="752" t="s">
        <v>43</v>
      </c>
      <c r="N623" s="752" t="s">
        <v>48</v>
      </c>
      <c r="O623" s="752" t="s">
        <v>48</v>
      </c>
      <c r="P623" s="752" t="s">
        <v>49</v>
      </c>
      <c r="Q623" s="753">
        <v>0</v>
      </c>
      <c r="R623" s="753">
        <v>0</v>
      </c>
      <c r="S623" s="753">
        <v>0</v>
      </c>
      <c r="T623" s="753">
        <v>0</v>
      </c>
      <c r="U623" s="753">
        <v>0</v>
      </c>
      <c r="V623" s="751">
        <v>2019</v>
      </c>
      <c r="W623" s="222"/>
      <c r="X623" s="186" t="str">
        <f t="shared" si="32"/>
        <v/>
      </c>
      <c r="Y623" s="178" t="str">
        <f t="shared" si="29"/>
        <v/>
      </c>
      <c r="Z623" s="178" t="str">
        <f t="shared" si="30"/>
        <v/>
      </c>
      <c r="AA623" s="44"/>
      <c r="AB623" s="65"/>
    </row>
    <row r="624" spans="1:28" hidden="1">
      <c r="A624" s="751">
        <v>10725</v>
      </c>
      <c r="B624" s="752" t="s">
        <v>56</v>
      </c>
      <c r="C624" s="751" t="s">
        <v>2960</v>
      </c>
      <c r="D624" s="752" t="s">
        <v>414</v>
      </c>
      <c r="E624" s="752" t="s">
        <v>415</v>
      </c>
      <c r="F624" s="751">
        <v>16909</v>
      </c>
      <c r="G624" s="752" t="s">
        <v>59</v>
      </c>
      <c r="H624" s="752" t="s">
        <v>1244</v>
      </c>
      <c r="I624" s="752" t="s">
        <v>60</v>
      </c>
      <c r="J624" s="751">
        <v>22</v>
      </c>
      <c r="K624" s="751">
        <v>3</v>
      </c>
      <c r="L624" s="752" t="s">
        <v>57</v>
      </c>
      <c r="M624" s="752" t="s">
        <v>43</v>
      </c>
      <c r="N624" s="752" t="s">
        <v>41</v>
      </c>
      <c r="O624" s="752" t="s">
        <v>41</v>
      </c>
      <c r="P624" s="752" t="s">
        <v>1091</v>
      </c>
      <c r="Q624" s="753">
        <v>1162989</v>
      </c>
      <c r="R624" s="753">
        <v>955819</v>
      </c>
      <c r="S624" s="753">
        <v>1196716</v>
      </c>
      <c r="T624" s="753">
        <v>983538</v>
      </c>
      <c r="U624" s="753">
        <v>84588</v>
      </c>
      <c r="V624" s="751">
        <v>2019</v>
      </c>
      <c r="W624" s="222"/>
      <c r="X624" s="186">
        <f t="shared" si="32"/>
        <v>11.627393956589588</v>
      </c>
      <c r="Y624" s="178" t="str">
        <f t="shared" si="29"/>
        <v/>
      </c>
      <c r="Z624" s="178" t="str">
        <f t="shared" si="30"/>
        <v/>
      </c>
      <c r="AA624" s="44"/>
      <c r="AB624" s="65"/>
    </row>
    <row r="625" spans="1:28" hidden="1">
      <c r="A625" s="751">
        <v>10726</v>
      </c>
      <c r="B625" s="752" t="s">
        <v>56</v>
      </c>
      <c r="C625" s="751" t="s">
        <v>2960</v>
      </c>
      <c r="D625" s="752" t="s">
        <v>416</v>
      </c>
      <c r="E625" s="752" t="s">
        <v>416</v>
      </c>
      <c r="F625" s="751">
        <v>11741</v>
      </c>
      <c r="G625" s="752" t="s">
        <v>83</v>
      </c>
      <c r="H625" s="752" t="s">
        <v>1245</v>
      </c>
      <c r="I625" s="752" t="s">
        <v>60</v>
      </c>
      <c r="J625" s="751">
        <v>22</v>
      </c>
      <c r="K625" s="751">
        <v>3</v>
      </c>
      <c r="L625" s="752" t="s">
        <v>57</v>
      </c>
      <c r="M625" s="752" t="s">
        <v>40</v>
      </c>
      <c r="N625" s="752" t="s">
        <v>48</v>
      </c>
      <c r="O625" s="752" t="s">
        <v>48</v>
      </c>
      <c r="P625" s="752" t="s">
        <v>49</v>
      </c>
      <c r="Q625" s="753">
        <v>0</v>
      </c>
      <c r="R625" s="753">
        <v>0</v>
      </c>
      <c r="S625" s="753">
        <v>0</v>
      </c>
      <c r="T625" s="753">
        <v>0</v>
      </c>
      <c r="U625" s="753">
        <v>0</v>
      </c>
      <c r="V625" s="751">
        <v>2019</v>
      </c>
      <c r="W625" s="222"/>
      <c r="X625" s="186" t="str">
        <f t="shared" si="32"/>
        <v/>
      </c>
      <c r="Y625" s="178" t="str">
        <f t="shared" si="29"/>
        <v/>
      </c>
      <c r="Z625" s="178" t="str">
        <f t="shared" si="30"/>
        <v/>
      </c>
      <c r="AA625" s="44"/>
      <c r="AB625" s="65"/>
    </row>
    <row r="626" spans="1:28" hidden="1">
      <c r="A626" s="751">
        <v>10726</v>
      </c>
      <c r="B626" s="752" t="s">
        <v>56</v>
      </c>
      <c r="C626" s="751" t="s">
        <v>2960</v>
      </c>
      <c r="D626" s="752" t="s">
        <v>416</v>
      </c>
      <c r="E626" s="752" t="s">
        <v>416</v>
      </c>
      <c r="F626" s="751">
        <v>11741</v>
      </c>
      <c r="G626" s="752" t="s">
        <v>83</v>
      </c>
      <c r="H626" s="752" t="s">
        <v>1245</v>
      </c>
      <c r="I626" s="752" t="s">
        <v>60</v>
      </c>
      <c r="J626" s="751">
        <v>22</v>
      </c>
      <c r="K626" s="751">
        <v>3</v>
      </c>
      <c r="L626" s="752" t="s">
        <v>57</v>
      </c>
      <c r="M626" s="752" t="s">
        <v>40</v>
      </c>
      <c r="N626" s="752" t="s">
        <v>41</v>
      </c>
      <c r="O626" s="752" t="s">
        <v>41</v>
      </c>
      <c r="P626" s="752" t="s">
        <v>1091</v>
      </c>
      <c r="Q626" s="753">
        <v>0</v>
      </c>
      <c r="R626" s="753">
        <v>0</v>
      </c>
      <c r="S626" s="753">
        <v>0</v>
      </c>
      <c r="T626" s="753">
        <v>0</v>
      </c>
      <c r="U626" s="753">
        <v>87386</v>
      </c>
      <c r="V626" s="751">
        <v>2019</v>
      </c>
      <c r="W626" s="222"/>
      <c r="X626" s="186" t="str">
        <f t="shared" si="32"/>
        <v/>
      </c>
      <c r="Y626" s="178" t="str">
        <f t="shared" si="29"/>
        <v/>
      </c>
      <c r="Z626" s="178" t="str">
        <f t="shared" si="30"/>
        <v/>
      </c>
      <c r="AA626" s="44"/>
      <c r="AB626" s="65"/>
    </row>
    <row r="627" spans="1:28" hidden="1">
      <c r="A627" s="751">
        <v>10726</v>
      </c>
      <c r="B627" s="752" t="s">
        <v>56</v>
      </c>
      <c r="C627" s="751" t="s">
        <v>2960</v>
      </c>
      <c r="D627" s="752" t="s">
        <v>416</v>
      </c>
      <c r="E627" s="752" t="s">
        <v>416</v>
      </c>
      <c r="F627" s="751">
        <v>11741</v>
      </c>
      <c r="G627" s="752" t="s">
        <v>83</v>
      </c>
      <c r="H627" s="752" t="s">
        <v>1245</v>
      </c>
      <c r="I627" s="752" t="s">
        <v>60</v>
      </c>
      <c r="J627" s="751">
        <v>22</v>
      </c>
      <c r="K627" s="751">
        <v>3</v>
      </c>
      <c r="L627" s="752" t="s">
        <v>57</v>
      </c>
      <c r="M627" s="752" t="s">
        <v>43</v>
      </c>
      <c r="N627" s="752" t="s">
        <v>48</v>
      </c>
      <c r="O627" s="752" t="s">
        <v>48</v>
      </c>
      <c r="P627" s="752" t="s">
        <v>49</v>
      </c>
      <c r="Q627" s="753">
        <v>0</v>
      </c>
      <c r="R627" s="753">
        <v>0</v>
      </c>
      <c r="S627" s="753">
        <v>0</v>
      </c>
      <c r="T627" s="753">
        <v>0</v>
      </c>
      <c r="U627" s="753">
        <v>0</v>
      </c>
      <c r="V627" s="751">
        <v>2019</v>
      </c>
      <c r="W627" s="222"/>
      <c r="X627" s="186" t="str">
        <f t="shared" si="32"/>
        <v/>
      </c>
      <c r="Y627" s="178" t="str">
        <f t="shared" si="29"/>
        <v/>
      </c>
      <c r="Z627" s="178" t="str">
        <f t="shared" si="30"/>
        <v/>
      </c>
      <c r="AA627" s="44"/>
      <c r="AB627" s="65"/>
    </row>
    <row r="628" spans="1:28" hidden="1">
      <c r="A628" s="751">
        <v>10726</v>
      </c>
      <c r="B628" s="752" t="s">
        <v>56</v>
      </c>
      <c r="C628" s="751" t="s">
        <v>2960</v>
      </c>
      <c r="D628" s="752" t="s">
        <v>416</v>
      </c>
      <c r="E628" s="752" t="s">
        <v>416</v>
      </c>
      <c r="F628" s="751">
        <v>11741</v>
      </c>
      <c r="G628" s="752" t="s">
        <v>83</v>
      </c>
      <c r="H628" s="752" t="s">
        <v>1245</v>
      </c>
      <c r="I628" s="752" t="s">
        <v>60</v>
      </c>
      <c r="J628" s="751">
        <v>22</v>
      </c>
      <c r="K628" s="751">
        <v>3</v>
      </c>
      <c r="L628" s="752" t="s">
        <v>57</v>
      </c>
      <c r="M628" s="752" t="s">
        <v>43</v>
      </c>
      <c r="N628" s="752" t="s">
        <v>41</v>
      </c>
      <c r="O628" s="752" t="s">
        <v>41</v>
      </c>
      <c r="P628" s="752" t="s">
        <v>1091</v>
      </c>
      <c r="Q628" s="753">
        <v>2379968</v>
      </c>
      <c r="R628" s="753">
        <v>2338222</v>
      </c>
      <c r="S628" s="753">
        <v>2450963</v>
      </c>
      <c r="T628" s="753">
        <v>2407930</v>
      </c>
      <c r="U628" s="753">
        <v>195061</v>
      </c>
      <c r="V628" s="751">
        <v>2019</v>
      </c>
      <c r="W628" s="222"/>
      <c r="X628" s="186"/>
      <c r="Y628" s="178" t="str">
        <f t="shared" si="29"/>
        <v/>
      </c>
      <c r="Z628" s="178" t="str">
        <f t="shared" si="30"/>
        <v/>
      </c>
      <c r="AA628" s="44"/>
      <c r="AB628" s="65"/>
    </row>
    <row r="629" spans="1:28" ht="25" hidden="1">
      <c r="A629" s="751">
        <v>10728</v>
      </c>
      <c r="B629" s="752" t="s">
        <v>35</v>
      </c>
      <c r="C629" s="751" t="s">
        <v>2960</v>
      </c>
      <c r="D629" s="752" t="s">
        <v>862</v>
      </c>
      <c r="E629" s="752" t="s">
        <v>1108</v>
      </c>
      <c r="F629" s="751">
        <v>56838</v>
      </c>
      <c r="G629" s="752" t="s">
        <v>92</v>
      </c>
      <c r="H629" s="752" t="s">
        <v>1245</v>
      </c>
      <c r="I629" s="752" t="s">
        <v>60</v>
      </c>
      <c r="J629" s="751">
        <v>22</v>
      </c>
      <c r="K629" s="751">
        <v>2</v>
      </c>
      <c r="L629" s="752" t="s">
        <v>54</v>
      </c>
      <c r="M629" s="752" t="s">
        <v>37</v>
      </c>
      <c r="N629" s="752" t="s">
        <v>38</v>
      </c>
      <c r="O629" s="752" t="s">
        <v>39</v>
      </c>
      <c r="P629" s="752" t="s">
        <v>1238</v>
      </c>
      <c r="Q629" s="753">
        <v>0</v>
      </c>
      <c r="R629" s="753">
        <v>0</v>
      </c>
      <c r="S629" s="753">
        <v>49123</v>
      </c>
      <c r="T629" s="753">
        <v>49123</v>
      </c>
      <c r="U629" s="753">
        <v>5517</v>
      </c>
      <c r="V629" s="751">
        <v>2019</v>
      </c>
      <c r="W629" s="222"/>
      <c r="X629" s="186"/>
      <c r="Y629" s="178" t="str">
        <f t="shared" si="29"/>
        <v/>
      </c>
      <c r="Z629" s="178" t="str">
        <f t="shared" si="30"/>
        <v/>
      </c>
      <c r="AA629" s="44"/>
      <c r="AB629" s="65"/>
    </row>
    <row r="630" spans="1:28" hidden="1">
      <c r="A630" s="751">
        <v>10752</v>
      </c>
      <c r="B630" s="752" t="s">
        <v>35</v>
      </c>
      <c r="C630" s="751" t="s">
        <v>2960</v>
      </c>
      <c r="D630" s="752" t="s">
        <v>863</v>
      </c>
      <c r="E630" s="752" t="s">
        <v>864</v>
      </c>
      <c r="F630" s="751">
        <v>10575</v>
      </c>
      <c r="G630" s="752" t="s">
        <v>59</v>
      </c>
      <c r="H630" s="752" t="s">
        <v>1244</v>
      </c>
      <c r="I630" s="752" t="s">
        <v>60</v>
      </c>
      <c r="J630" s="751">
        <v>22</v>
      </c>
      <c r="K630" s="751">
        <v>2</v>
      </c>
      <c r="L630" s="752" t="s">
        <v>54</v>
      </c>
      <c r="M630" s="752" t="s">
        <v>37</v>
      </c>
      <c r="N630" s="752" t="s">
        <v>38</v>
      </c>
      <c r="O630" s="752" t="s">
        <v>39</v>
      </c>
      <c r="P630" s="752" t="s">
        <v>1238</v>
      </c>
      <c r="Q630" s="753">
        <v>0</v>
      </c>
      <c r="R630" s="753">
        <v>0</v>
      </c>
      <c r="S630" s="753">
        <v>192816</v>
      </c>
      <c r="T630" s="753">
        <v>192816</v>
      </c>
      <c r="U630" s="753">
        <v>21655</v>
      </c>
      <c r="V630" s="751">
        <v>2019</v>
      </c>
      <c r="W630" s="222"/>
      <c r="X630" s="186"/>
      <c r="Y630" s="178" t="str">
        <f t="shared" si="29"/>
        <v/>
      </c>
      <c r="Z630" s="178" t="str">
        <f t="shared" si="30"/>
        <v/>
      </c>
      <c r="AA630" s="44"/>
      <c r="AB630" s="65"/>
    </row>
    <row r="631" spans="1:28" hidden="1">
      <c r="A631" s="751">
        <v>10753</v>
      </c>
      <c r="B631" s="752" t="s">
        <v>35</v>
      </c>
      <c r="C631" s="751" t="s">
        <v>2960</v>
      </c>
      <c r="D631" s="752" t="s">
        <v>865</v>
      </c>
      <c r="E631" s="752" t="s">
        <v>864</v>
      </c>
      <c r="F631" s="751">
        <v>10575</v>
      </c>
      <c r="G631" s="752" t="s">
        <v>59</v>
      </c>
      <c r="H631" s="752" t="s">
        <v>1244</v>
      </c>
      <c r="I631" s="752" t="s">
        <v>60</v>
      </c>
      <c r="J631" s="751">
        <v>22</v>
      </c>
      <c r="K631" s="751">
        <v>2</v>
      </c>
      <c r="L631" s="752" t="s">
        <v>54</v>
      </c>
      <c r="M631" s="752" t="s">
        <v>37</v>
      </c>
      <c r="N631" s="752" t="s">
        <v>38</v>
      </c>
      <c r="O631" s="752" t="s">
        <v>39</v>
      </c>
      <c r="P631" s="752" t="s">
        <v>1238</v>
      </c>
      <c r="Q631" s="753">
        <v>0</v>
      </c>
      <c r="R631" s="753">
        <v>0</v>
      </c>
      <c r="S631" s="753">
        <v>192816</v>
      </c>
      <c r="T631" s="753">
        <v>192816</v>
      </c>
      <c r="U631" s="753">
        <v>21655</v>
      </c>
      <c r="V631" s="751">
        <v>2019</v>
      </c>
      <c r="W631" s="222"/>
      <c r="X631" s="186">
        <f>IF(OR(K631&gt;3,T631=0,NOT(U631&gt;0)),"",T631/U631)</f>
        <v>8.9039944585546067</v>
      </c>
      <c r="Y631" s="178" t="str">
        <f t="shared" si="29"/>
        <v/>
      </c>
      <c r="Z631" s="178" t="str">
        <f t="shared" si="30"/>
        <v/>
      </c>
      <c r="AA631" s="44"/>
      <c r="AB631" s="65"/>
    </row>
    <row r="632" spans="1:28" hidden="1">
      <c r="A632" s="751">
        <v>10765</v>
      </c>
      <c r="B632" s="752" t="s">
        <v>35</v>
      </c>
      <c r="C632" s="751" t="s">
        <v>2960</v>
      </c>
      <c r="D632" s="752" t="s">
        <v>417</v>
      </c>
      <c r="E632" s="752" t="s">
        <v>2458</v>
      </c>
      <c r="F632" s="751">
        <v>62815</v>
      </c>
      <c r="G632" s="752" t="s">
        <v>92</v>
      </c>
      <c r="H632" s="752" t="s">
        <v>1245</v>
      </c>
      <c r="I632" s="752" t="s">
        <v>60</v>
      </c>
      <c r="J632" s="751">
        <v>22</v>
      </c>
      <c r="K632" s="751">
        <v>2</v>
      </c>
      <c r="L632" s="752" t="s">
        <v>54</v>
      </c>
      <c r="M632" s="752" t="s">
        <v>44</v>
      </c>
      <c r="N632" s="752" t="s">
        <v>439</v>
      </c>
      <c r="O632" s="752" t="s">
        <v>69</v>
      </c>
      <c r="P632" s="752" t="s">
        <v>1091</v>
      </c>
      <c r="Q632" s="753">
        <v>237</v>
      </c>
      <c r="R632" s="753">
        <v>237</v>
      </c>
      <c r="S632" s="753">
        <v>595</v>
      </c>
      <c r="T632" s="753">
        <v>595</v>
      </c>
      <c r="U632" s="753">
        <v>30.695</v>
      </c>
      <c r="V632" s="751">
        <v>2019</v>
      </c>
      <c r="W632" s="222"/>
      <c r="X632" s="186">
        <f>IF(OR(K632&gt;3,T632=0,NOT(U632&gt;0)),"",T632/U632)</f>
        <v>19.384264538198405</v>
      </c>
      <c r="Y632" s="178" t="str">
        <f t="shared" si="29"/>
        <v/>
      </c>
      <c r="Z632" s="178" t="str">
        <f t="shared" si="30"/>
        <v/>
      </c>
      <c r="AA632" s="44"/>
      <c r="AB632" s="65"/>
    </row>
    <row r="633" spans="1:28" ht="25" hidden="1">
      <c r="A633" s="751">
        <v>10765</v>
      </c>
      <c r="B633" s="752" t="s">
        <v>35</v>
      </c>
      <c r="C633" s="751" t="s">
        <v>2960</v>
      </c>
      <c r="D633" s="752" t="s">
        <v>417</v>
      </c>
      <c r="E633" s="752" t="s">
        <v>2458</v>
      </c>
      <c r="F633" s="751">
        <v>62815</v>
      </c>
      <c r="G633" s="752" t="s">
        <v>92</v>
      </c>
      <c r="H633" s="752" t="s">
        <v>1245</v>
      </c>
      <c r="I633" s="752" t="s">
        <v>60</v>
      </c>
      <c r="J633" s="751">
        <v>22</v>
      </c>
      <c r="K633" s="751">
        <v>2</v>
      </c>
      <c r="L633" s="752" t="s">
        <v>54</v>
      </c>
      <c r="M633" s="752" t="s">
        <v>44</v>
      </c>
      <c r="N633" s="752" t="s">
        <v>71</v>
      </c>
      <c r="O633" s="752" t="s">
        <v>72</v>
      </c>
      <c r="P633" s="752" t="s">
        <v>47</v>
      </c>
      <c r="Q633" s="753">
        <v>42900</v>
      </c>
      <c r="R633" s="753">
        <v>42900</v>
      </c>
      <c r="S633" s="753">
        <v>437580</v>
      </c>
      <c r="T633" s="753">
        <v>437580</v>
      </c>
      <c r="U633" s="753">
        <v>23349.305</v>
      </c>
      <c r="V633" s="751">
        <v>2019</v>
      </c>
      <c r="W633" s="222"/>
      <c r="X633" s="186">
        <f>IF(OR(K633&gt;3,T633=0,NOT(U633&gt;0)),"",T633/U633)</f>
        <v>18.740600630297134</v>
      </c>
      <c r="Y633" s="178" t="str">
        <f t="shared" si="29"/>
        <v/>
      </c>
      <c r="Z633" s="178" t="str">
        <f t="shared" si="30"/>
        <v/>
      </c>
      <c r="AA633" s="44"/>
      <c r="AB633" s="65"/>
    </row>
    <row r="634" spans="1:28" hidden="1">
      <c r="A634" s="751">
        <v>10766</v>
      </c>
      <c r="B634" s="752" t="s">
        <v>35</v>
      </c>
      <c r="C634" s="751" t="s">
        <v>2960</v>
      </c>
      <c r="D634" s="752" t="s">
        <v>418</v>
      </c>
      <c r="E634" s="752" t="s">
        <v>2458</v>
      </c>
      <c r="F634" s="751">
        <v>62815</v>
      </c>
      <c r="G634" s="752" t="s">
        <v>92</v>
      </c>
      <c r="H634" s="752" t="s">
        <v>1245</v>
      </c>
      <c r="I634" s="752" t="s">
        <v>60</v>
      </c>
      <c r="J634" s="751">
        <v>22</v>
      </c>
      <c r="K634" s="751">
        <v>2</v>
      </c>
      <c r="L634" s="752" t="s">
        <v>54</v>
      </c>
      <c r="M634" s="752" t="s">
        <v>44</v>
      </c>
      <c r="N634" s="752" t="s">
        <v>439</v>
      </c>
      <c r="O634" s="752" t="s">
        <v>69</v>
      </c>
      <c r="P634" s="752" t="s">
        <v>1091</v>
      </c>
      <c r="Q634" s="753">
        <v>241</v>
      </c>
      <c r="R634" s="753">
        <v>241</v>
      </c>
      <c r="S634" s="753">
        <v>603</v>
      </c>
      <c r="T634" s="753">
        <v>603</v>
      </c>
      <c r="U634" s="753">
        <v>35.600999999999999</v>
      </c>
      <c r="V634" s="751">
        <v>2019</v>
      </c>
      <c r="W634" s="222"/>
      <c r="X634" s="186"/>
      <c r="Y634" s="178" t="str">
        <f t="shared" si="29"/>
        <v/>
      </c>
      <c r="Z634" s="178" t="str">
        <f t="shared" si="30"/>
        <v/>
      </c>
      <c r="AA634" s="44"/>
      <c r="AB634" s="65"/>
    </row>
    <row r="635" spans="1:28" ht="25" hidden="1">
      <c r="A635" s="751">
        <v>10766</v>
      </c>
      <c r="B635" s="752" t="s">
        <v>35</v>
      </c>
      <c r="C635" s="751" t="s">
        <v>2960</v>
      </c>
      <c r="D635" s="752" t="s">
        <v>418</v>
      </c>
      <c r="E635" s="752" t="s">
        <v>2458</v>
      </c>
      <c r="F635" s="751">
        <v>62815</v>
      </c>
      <c r="G635" s="752" t="s">
        <v>92</v>
      </c>
      <c r="H635" s="752" t="s">
        <v>1245</v>
      </c>
      <c r="I635" s="752" t="s">
        <v>60</v>
      </c>
      <c r="J635" s="751">
        <v>22</v>
      </c>
      <c r="K635" s="751">
        <v>2</v>
      </c>
      <c r="L635" s="752" t="s">
        <v>54</v>
      </c>
      <c r="M635" s="752" t="s">
        <v>44</v>
      </c>
      <c r="N635" s="752" t="s">
        <v>71</v>
      </c>
      <c r="O635" s="752" t="s">
        <v>72</v>
      </c>
      <c r="P635" s="752" t="s">
        <v>47</v>
      </c>
      <c r="Q635" s="753">
        <v>47921</v>
      </c>
      <c r="R635" s="753">
        <v>47921</v>
      </c>
      <c r="S635" s="753">
        <v>397334</v>
      </c>
      <c r="T635" s="753">
        <v>397334</v>
      </c>
      <c r="U635" s="753">
        <v>23159.399000000001</v>
      </c>
      <c r="V635" s="751">
        <v>2019</v>
      </c>
      <c r="W635" s="222"/>
      <c r="X635" s="186"/>
      <c r="Y635" s="178" t="str">
        <f t="shared" si="29"/>
        <v/>
      </c>
      <c r="Z635" s="178" t="str">
        <f t="shared" si="30"/>
        <v/>
      </c>
      <c r="AA635" s="44"/>
      <c r="AB635" s="65"/>
    </row>
    <row r="636" spans="1:28" hidden="1">
      <c r="A636" s="751">
        <v>10817</v>
      </c>
      <c r="B636" s="752" t="s">
        <v>35</v>
      </c>
      <c r="C636" s="751" t="s">
        <v>2960</v>
      </c>
      <c r="D636" s="752" t="s">
        <v>866</v>
      </c>
      <c r="E636" s="752" t="s">
        <v>867</v>
      </c>
      <c r="F636" s="751">
        <v>5811</v>
      </c>
      <c r="G636" s="752" t="s">
        <v>59</v>
      </c>
      <c r="H636" s="752" t="s">
        <v>1244</v>
      </c>
      <c r="I636" s="752" t="s">
        <v>60</v>
      </c>
      <c r="J636" s="751">
        <v>22</v>
      </c>
      <c r="K636" s="751">
        <v>2</v>
      </c>
      <c r="L636" s="752" t="s">
        <v>54</v>
      </c>
      <c r="M636" s="752" t="s">
        <v>37</v>
      </c>
      <c r="N636" s="752" t="s">
        <v>38</v>
      </c>
      <c r="O636" s="752" t="s">
        <v>39</v>
      </c>
      <c r="P636" s="752" t="s">
        <v>1238</v>
      </c>
      <c r="Q636" s="753">
        <v>0</v>
      </c>
      <c r="R636" s="753">
        <v>0</v>
      </c>
      <c r="S636" s="753">
        <v>47876</v>
      </c>
      <c r="T636" s="753">
        <v>47876</v>
      </c>
      <c r="U636" s="753">
        <v>5377</v>
      </c>
      <c r="V636" s="751">
        <v>2019</v>
      </c>
      <c r="W636" s="222"/>
      <c r="X636" s="186"/>
      <c r="Y636" s="86" t="str">
        <f t="shared" si="29"/>
        <v/>
      </c>
      <c r="Z636" s="86" t="str">
        <f t="shared" si="30"/>
        <v/>
      </c>
      <c r="AA636" s="44"/>
      <c r="AB636" s="65"/>
    </row>
    <row r="637" spans="1:28" ht="25" hidden="1">
      <c r="A637" s="751">
        <v>10823</v>
      </c>
      <c r="B637" s="752" t="s">
        <v>56</v>
      </c>
      <c r="C637" s="751" t="s">
        <v>2960</v>
      </c>
      <c r="D637" s="752" t="s">
        <v>1935</v>
      </c>
      <c r="E637" s="752" t="s">
        <v>2252</v>
      </c>
      <c r="F637" s="751">
        <v>11427</v>
      </c>
      <c r="G637" s="752" t="s">
        <v>83</v>
      </c>
      <c r="H637" s="752" t="s">
        <v>1245</v>
      </c>
      <c r="I637" s="752" t="s">
        <v>60</v>
      </c>
      <c r="J637" s="751">
        <v>22132</v>
      </c>
      <c r="K637" s="751">
        <v>5</v>
      </c>
      <c r="L637" s="752" t="s">
        <v>423</v>
      </c>
      <c r="M637" s="752" t="s">
        <v>52</v>
      </c>
      <c r="N637" s="752" t="s">
        <v>48</v>
      </c>
      <c r="O637" s="752" t="s">
        <v>48</v>
      </c>
      <c r="P637" s="752" t="s">
        <v>49</v>
      </c>
      <c r="Q637" s="753">
        <v>17671</v>
      </c>
      <c r="R637" s="753">
        <v>5786</v>
      </c>
      <c r="S637" s="753">
        <v>100513</v>
      </c>
      <c r="T637" s="753">
        <v>32899</v>
      </c>
      <c r="U637" s="753">
        <v>8032.08</v>
      </c>
      <c r="V637" s="751">
        <v>2019</v>
      </c>
      <c r="W637" s="222"/>
      <c r="X637" s="186"/>
      <c r="Y637" s="86" t="str">
        <f t="shared" si="29"/>
        <v/>
      </c>
      <c r="Z637" s="86">
        <f t="shared" si="30"/>
        <v>4.813055417008564</v>
      </c>
      <c r="AA637" s="44"/>
      <c r="AB637" s="65"/>
    </row>
    <row r="638" spans="1:28" ht="25" hidden="1">
      <c r="A638" s="751">
        <v>10823</v>
      </c>
      <c r="B638" s="752" t="s">
        <v>56</v>
      </c>
      <c r="C638" s="751" t="s">
        <v>2960</v>
      </c>
      <c r="D638" s="752" t="s">
        <v>1935</v>
      </c>
      <c r="E638" s="752" t="s">
        <v>2252</v>
      </c>
      <c r="F638" s="751">
        <v>11427</v>
      </c>
      <c r="G638" s="752" t="s">
        <v>83</v>
      </c>
      <c r="H638" s="752" t="s">
        <v>1245</v>
      </c>
      <c r="I638" s="752" t="s">
        <v>60</v>
      </c>
      <c r="J638" s="751">
        <v>22132</v>
      </c>
      <c r="K638" s="751">
        <v>5</v>
      </c>
      <c r="L638" s="752" t="s">
        <v>423</v>
      </c>
      <c r="M638" s="752" t="s">
        <v>37</v>
      </c>
      <c r="N638" s="752" t="s">
        <v>38</v>
      </c>
      <c r="O638" s="752" t="s">
        <v>39</v>
      </c>
      <c r="P638" s="752" t="s">
        <v>1238</v>
      </c>
      <c r="Q638" s="753">
        <v>0</v>
      </c>
      <c r="R638" s="753">
        <v>0</v>
      </c>
      <c r="S638" s="753">
        <v>49064</v>
      </c>
      <c r="T638" s="753">
        <v>49064</v>
      </c>
      <c r="U638" s="753">
        <v>5510.34</v>
      </c>
      <c r="V638" s="751">
        <v>2019</v>
      </c>
      <c r="W638" s="222"/>
      <c r="X638" s="186"/>
      <c r="Y638" s="86" t="str">
        <f t="shared" si="29"/>
        <v/>
      </c>
      <c r="Z638" s="86" t="str">
        <f t="shared" si="30"/>
        <v/>
      </c>
      <c r="AA638" s="44"/>
      <c r="AB638" s="65"/>
    </row>
    <row r="639" spans="1:28" ht="25" hidden="1">
      <c r="A639" s="751">
        <v>10823</v>
      </c>
      <c r="B639" s="752" t="s">
        <v>56</v>
      </c>
      <c r="C639" s="751" t="s">
        <v>2960</v>
      </c>
      <c r="D639" s="752" t="s">
        <v>1935</v>
      </c>
      <c r="E639" s="752" t="s">
        <v>2252</v>
      </c>
      <c r="F639" s="751">
        <v>11427</v>
      </c>
      <c r="G639" s="752" t="s">
        <v>83</v>
      </c>
      <c r="H639" s="752" t="s">
        <v>1245</v>
      </c>
      <c r="I639" s="752" t="s">
        <v>60</v>
      </c>
      <c r="J639" s="751">
        <v>22132</v>
      </c>
      <c r="K639" s="751">
        <v>5</v>
      </c>
      <c r="L639" s="752" t="s">
        <v>423</v>
      </c>
      <c r="M639" s="752" t="s">
        <v>468</v>
      </c>
      <c r="N639" s="752" t="s">
        <v>469</v>
      </c>
      <c r="O639" s="752" t="s">
        <v>469</v>
      </c>
      <c r="P639" s="752" t="s">
        <v>1238</v>
      </c>
      <c r="Q639" s="753">
        <v>0</v>
      </c>
      <c r="R639" s="753">
        <v>0</v>
      </c>
      <c r="S639" s="753">
        <v>7193</v>
      </c>
      <c r="T639" s="753">
        <v>7193</v>
      </c>
      <c r="U639" s="753">
        <v>807.84</v>
      </c>
      <c r="V639" s="751">
        <v>2019</v>
      </c>
      <c r="W639" s="222"/>
      <c r="X639" s="186" t="str">
        <f>IF(OR(K639&gt;3,T639=0,NOT(U639&gt;0)),"",T639/U639)</f>
        <v/>
      </c>
      <c r="Y639" s="86" t="str">
        <f t="shared" si="29"/>
        <v/>
      </c>
      <c r="Z639" s="86" t="str">
        <f t="shared" si="30"/>
        <v/>
      </c>
      <c r="AA639" s="44"/>
      <c r="AB639" s="65"/>
    </row>
    <row r="640" spans="1:28" ht="25" hidden="1">
      <c r="A640" s="751">
        <v>10823</v>
      </c>
      <c r="B640" s="752" t="s">
        <v>56</v>
      </c>
      <c r="C640" s="751" t="s">
        <v>2960</v>
      </c>
      <c r="D640" s="752" t="s">
        <v>1935</v>
      </c>
      <c r="E640" s="752" t="s">
        <v>2252</v>
      </c>
      <c r="F640" s="751">
        <v>11427</v>
      </c>
      <c r="G640" s="752" t="s">
        <v>83</v>
      </c>
      <c r="H640" s="752" t="s">
        <v>1245</v>
      </c>
      <c r="I640" s="752" t="s">
        <v>60</v>
      </c>
      <c r="J640" s="751">
        <v>22132</v>
      </c>
      <c r="K640" s="751">
        <v>5</v>
      </c>
      <c r="L640" s="752" t="s">
        <v>423</v>
      </c>
      <c r="M640" s="752" t="s">
        <v>44</v>
      </c>
      <c r="N640" s="752" t="s">
        <v>48</v>
      </c>
      <c r="O640" s="752" t="s">
        <v>48</v>
      </c>
      <c r="P640" s="752" t="s">
        <v>49</v>
      </c>
      <c r="Q640" s="753">
        <v>8110</v>
      </c>
      <c r="R640" s="753">
        <v>849</v>
      </c>
      <c r="S640" s="753">
        <v>46007</v>
      </c>
      <c r="T640" s="753">
        <v>4819</v>
      </c>
      <c r="U640" s="753">
        <v>1164.548</v>
      </c>
      <c r="V640" s="751">
        <v>2019</v>
      </c>
      <c r="W640" s="222"/>
      <c r="X640" s="186" t="str">
        <f>IF(OR(K640&gt;3,T640=0,NOT(U640&gt;0)),"",T640/U640)</f>
        <v/>
      </c>
      <c r="Y640" s="86" t="str">
        <f t="shared" si="29"/>
        <v/>
      </c>
      <c r="Z640" s="86" t="str">
        <f t="shared" si="30"/>
        <v/>
      </c>
      <c r="AA640" s="44"/>
      <c r="AB640" s="65"/>
    </row>
    <row r="641" spans="1:28" ht="25" hidden="1">
      <c r="A641" s="751">
        <v>10823</v>
      </c>
      <c r="B641" s="752" t="s">
        <v>56</v>
      </c>
      <c r="C641" s="751" t="s">
        <v>2960</v>
      </c>
      <c r="D641" s="752" t="s">
        <v>1935</v>
      </c>
      <c r="E641" s="752" t="s">
        <v>2252</v>
      </c>
      <c r="F641" s="751">
        <v>11427</v>
      </c>
      <c r="G641" s="752" t="s">
        <v>83</v>
      </c>
      <c r="H641" s="752" t="s">
        <v>1245</v>
      </c>
      <c r="I641" s="752" t="s">
        <v>60</v>
      </c>
      <c r="J641" s="751">
        <v>22132</v>
      </c>
      <c r="K641" s="751">
        <v>5</v>
      </c>
      <c r="L641" s="752" t="s">
        <v>423</v>
      </c>
      <c r="M641" s="752" t="s">
        <v>44</v>
      </c>
      <c r="N641" s="752" t="s">
        <v>70</v>
      </c>
      <c r="O641" s="752" t="s">
        <v>51</v>
      </c>
      <c r="P641" s="752" t="s">
        <v>42</v>
      </c>
      <c r="Q641" s="753">
        <v>1699733</v>
      </c>
      <c r="R641" s="753">
        <v>175713</v>
      </c>
      <c r="S641" s="753">
        <v>1033439</v>
      </c>
      <c r="T641" s="753">
        <v>106834</v>
      </c>
      <c r="U641" s="753">
        <v>25816.002</v>
      </c>
      <c r="V641" s="751">
        <v>2019</v>
      </c>
      <c r="W641" s="222"/>
      <c r="X641" s="186"/>
      <c r="Y641" s="178" t="str">
        <f t="shared" si="29"/>
        <v/>
      </c>
      <c r="Z641" s="178" t="str">
        <f t="shared" si="30"/>
        <v/>
      </c>
      <c r="AA641" s="44"/>
      <c r="AB641" s="65"/>
    </row>
    <row r="642" spans="1:28" ht="25" hidden="1">
      <c r="A642" s="751">
        <v>10823</v>
      </c>
      <c r="B642" s="752" t="s">
        <v>56</v>
      </c>
      <c r="C642" s="751" t="s">
        <v>2960</v>
      </c>
      <c r="D642" s="752" t="s">
        <v>1935</v>
      </c>
      <c r="E642" s="752" t="s">
        <v>2252</v>
      </c>
      <c r="F642" s="751">
        <v>11427</v>
      </c>
      <c r="G642" s="752" t="s">
        <v>83</v>
      </c>
      <c r="H642" s="752" t="s">
        <v>1245</v>
      </c>
      <c r="I642" s="752" t="s">
        <v>60</v>
      </c>
      <c r="J642" s="751">
        <v>22132</v>
      </c>
      <c r="K642" s="751">
        <v>5</v>
      </c>
      <c r="L642" s="752" t="s">
        <v>423</v>
      </c>
      <c r="M642" s="752" t="s">
        <v>73</v>
      </c>
      <c r="N642" s="752" t="s">
        <v>74</v>
      </c>
      <c r="O642" s="752" t="s">
        <v>74</v>
      </c>
      <c r="P642" s="752" t="s">
        <v>1238</v>
      </c>
      <c r="Q642" s="753">
        <v>0</v>
      </c>
      <c r="R642" s="753">
        <v>0</v>
      </c>
      <c r="S642" s="753">
        <v>18132</v>
      </c>
      <c r="T642" s="753">
        <v>18132</v>
      </c>
      <c r="U642" s="753">
        <v>2036.43</v>
      </c>
      <c r="V642" s="751">
        <v>2019</v>
      </c>
      <c r="W642" s="222"/>
      <c r="X642" s="186"/>
      <c r="Y642" s="178" t="str">
        <f t="shared" si="29"/>
        <v/>
      </c>
      <c r="Z642" s="178" t="str">
        <f t="shared" si="30"/>
        <v/>
      </c>
      <c r="AA642" s="44"/>
      <c r="AB642" s="65"/>
    </row>
    <row r="643" spans="1:28" hidden="1">
      <c r="A643" s="751">
        <v>10824</v>
      </c>
      <c r="B643" s="752" t="s">
        <v>35</v>
      </c>
      <c r="C643" s="751" t="s">
        <v>2960</v>
      </c>
      <c r="D643" s="752" t="s">
        <v>868</v>
      </c>
      <c r="E643" s="752" t="s">
        <v>869</v>
      </c>
      <c r="F643" s="751">
        <v>11426</v>
      </c>
      <c r="G643" s="752" t="s">
        <v>83</v>
      </c>
      <c r="H643" s="752" t="s">
        <v>1245</v>
      </c>
      <c r="I643" s="752" t="s">
        <v>60</v>
      </c>
      <c r="J643" s="751">
        <v>22</v>
      </c>
      <c r="K643" s="751">
        <v>2</v>
      </c>
      <c r="L643" s="752" t="s">
        <v>54</v>
      </c>
      <c r="M643" s="752" t="s">
        <v>37</v>
      </c>
      <c r="N643" s="752" t="s">
        <v>38</v>
      </c>
      <c r="O643" s="752" t="s">
        <v>39</v>
      </c>
      <c r="P643" s="752" t="s">
        <v>1238</v>
      </c>
      <c r="Q643" s="753">
        <v>0</v>
      </c>
      <c r="R643" s="753">
        <v>0</v>
      </c>
      <c r="S643" s="753">
        <v>97651</v>
      </c>
      <c r="T643" s="753">
        <v>97651</v>
      </c>
      <c r="U643" s="753">
        <v>10967</v>
      </c>
      <c r="V643" s="751">
        <v>2019</v>
      </c>
      <c r="W643" s="222"/>
      <c r="X643" s="186"/>
      <c r="Y643" s="178" t="str">
        <f t="shared" si="29"/>
        <v/>
      </c>
      <c r="Z643" s="178" t="str">
        <f t="shared" si="30"/>
        <v/>
      </c>
      <c r="AA643" s="44"/>
      <c r="AB643" s="65"/>
    </row>
    <row r="644" spans="1:28" ht="25" hidden="1">
      <c r="A644" s="751">
        <v>10825</v>
      </c>
      <c r="B644" s="752" t="s">
        <v>35</v>
      </c>
      <c r="C644" s="751" t="s">
        <v>2960</v>
      </c>
      <c r="D644" s="752" t="s">
        <v>870</v>
      </c>
      <c r="E644" s="752" t="s">
        <v>869</v>
      </c>
      <c r="F644" s="751">
        <v>11426</v>
      </c>
      <c r="G644" s="752" t="s">
        <v>83</v>
      </c>
      <c r="H644" s="752" t="s">
        <v>1245</v>
      </c>
      <c r="I644" s="752" t="s">
        <v>60</v>
      </c>
      <c r="J644" s="751">
        <v>22</v>
      </c>
      <c r="K644" s="751">
        <v>2</v>
      </c>
      <c r="L644" s="752" t="s">
        <v>54</v>
      </c>
      <c r="M644" s="752" t="s">
        <v>37</v>
      </c>
      <c r="N644" s="752" t="s">
        <v>38</v>
      </c>
      <c r="O644" s="752" t="s">
        <v>39</v>
      </c>
      <c r="P644" s="752" t="s">
        <v>1238</v>
      </c>
      <c r="Q644" s="753">
        <v>0</v>
      </c>
      <c r="R644" s="753">
        <v>0</v>
      </c>
      <c r="S644" s="753">
        <v>42408</v>
      </c>
      <c r="T644" s="753">
        <v>42408</v>
      </c>
      <c r="U644" s="753">
        <v>4763</v>
      </c>
      <c r="V644" s="751">
        <v>2019</v>
      </c>
      <c r="W644" s="222"/>
      <c r="X644" s="186"/>
      <c r="Y644" s="178" t="str">
        <f t="shared" si="29"/>
        <v/>
      </c>
      <c r="Z644" s="178" t="str">
        <f t="shared" si="30"/>
        <v/>
      </c>
      <c r="AA644" s="44"/>
      <c r="AB644" s="65"/>
    </row>
    <row r="645" spans="1:28" ht="25" hidden="1">
      <c r="A645" s="751">
        <v>10838</v>
      </c>
      <c r="B645" s="752" t="s">
        <v>35</v>
      </c>
      <c r="C645" s="751" t="s">
        <v>2960</v>
      </c>
      <c r="D645" s="752" t="s">
        <v>871</v>
      </c>
      <c r="E645" s="752" t="s">
        <v>871</v>
      </c>
      <c r="F645" s="751">
        <v>56084</v>
      </c>
      <c r="G645" s="752" t="s">
        <v>98</v>
      </c>
      <c r="H645" s="752" t="s">
        <v>1245</v>
      </c>
      <c r="I645" s="752" t="s">
        <v>60</v>
      </c>
      <c r="J645" s="751">
        <v>22</v>
      </c>
      <c r="K645" s="751">
        <v>2</v>
      </c>
      <c r="L645" s="752" t="s">
        <v>54</v>
      </c>
      <c r="M645" s="752" t="s">
        <v>44</v>
      </c>
      <c r="N645" s="752" t="s">
        <v>71</v>
      </c>
      <c r="O645" s="752" t="s">
        <v>72</v>
      </c>
      <c r="P645" s="752" t="s">
        <v>47</v>
      </c>
      <c r="Q645" s="753">
        <v>49707</v>
      </c>
      <c r="R645" s="753">
        <v>49707</v>
      </c>
      <c r="S645" s="753">
        <v>422511</v>
      </c>
      <c r="T645" s="753">
        <v>422511</v>
      </c>
      <c r="U645" s="753">
        <v>30129</v>
      </c>
      <c r="V645" s="751">
        <v>2019</v>
      </c>
      <c r="W645" s="222"/>
      <c r="X645" s="186">
        <f>IF(OR(K645&gt;3,T645=0,NOT(U645&gt;0)),"",T645/U645)</f>
        <v>14.023399382654585</v>
      </c>
      <c r="Y645" s="178" t="str">
        <f t="shared" si="29"/>
        <v/>
      </c>
      <c r="Z645" s="178" t="str">
        <f t="shared" si="30"/>
        <v/>
      </c>
      <c r="AA645" s="44"/>
      <c r="AB645" s="65"/>
    </row>
    <row r="646" spans="1:28" ht="25" hidden="1">
      <c r="A646" s="751">
        <v>10839</v>
      </c>
      <c r="B646" s="752" t="s">
        <v>35</v>
      </c>
      <c r="C646" s="751" t="s">
        <v>2960</v>
      </c>
      <c r="D646" s="752" t="s">
        <v>872</v>
      </c>
      <c r="E646" s="752" t="s">
        <v>1109</v>
      </c>
      <c r="F646" s="751">
        <v>55840</v>
      </c>
      <c r="G646" s="752" t="s">
        <v>98</v>
      </c>
      <c r="H646" s="752" t="s">
        <v>1245</v>
      </c>
      <c r="I646" s="752" t="s">
        <v>60</v>
      </c>
      <c r="J646" s="751">
        <v>22</v>
      </c>
      <c r="K646" s="751">
        <v>2</v>
      </c>
      <c r="L646" s="752" t="s">
        <v>54</v>
      </c>
      <c r="M646" s="752" t="s">
        <v>44</v>
      </c>
      <c r="N646" s="752" t="s">
        <v>71</v>
      </c>
      <c r="O646" s="752" t="s">
        <v>72</v>
      </c>
      <c r="P646" s="752" t="s">
        <v>47</v>
      </c>
      <c r="Q646" s="753">
        <v>38921</v>
      </c>
      <c r="R646" s="753">
        <v>38921</v>
      </c>
      <c r="S646" s="753">
        <v>311368</v>
      </c>
      <c r="T646" s="753">
        <v>311368</v>
      </c>
      <c r="U646" s="753">
        <v>22347</v>
      </c>
      <c r="V646" s="751">
        <v>2019</v>
      </c>
      <c r="W646" s="222"/>
      <c r="X646" s="186"/>
      <c r="Y646" s="178" t="str">
        <f t="shared" si="29"/>
        <v/>
      </c>
      <c r="Z646" s="178" t="str">
        <f t="shared" si="30"/>
        <v/>
      </c>
      <c r="AA646" s="44"/>
      <c r="AB646" s="65"/>
    </row>
    <row r="647" spans="1:28" ht="25" hidden="1">
      <c r="A647" s="751">
        <v>10848</v>
      </c>
      <c r="B647" s="752" t="s">
        <v>35</v>
      </c>
      <c r="C647" s="751" t="s">
        <v>2960</v>
      </c>
      <c r="D647" s="752" t="s">
        <v>873</v>
      </c>
      <c r="E647" s="752" t="s">
        <v>874</v>
      </c>
      <c r="F647" s="751">
        <v>49997</v>
      </c>
      <c r="G647" s="752" t="s">
        <v>59</v>
      </c>
      <c r="H647" s="752" t="s">
        <v>1244</v>
      </c>
      <c r="I647" s="752" t="s">
        <v>60</v>
      </c>
      <c r="J647" s="751">
        <v>22</v>
      </c>
      <c r="K647" s="751">
        <v>2</v>
      </c>
      <c r="L647" s="752" t="s">
        <v>54</v>
      </c>
      <c r="M647" s="752" t="s">
        <v>37</v>
      </c>
      <c r="N647" s="752" t="s">
        <v>38</v>
      </c>
      <c r="O647" s="752" t="s">
        <v>39</v>
      </c>
      <c r="P647" s="752" t="s">
        <v>1238</v>
      </c>
      <c r="Q647" s="753">
        <v>0</v>
      </c>
      <c r="R647" s="753">
        <v>0</v>
      </c>
      <c r="S647" s="753">
        <v>22911</v>
      </c>
      <c r="T647" s="753">
        <v>22911</v>
      </c>
      <c r="U647" s="753">
        <v>2573</v>
      </c>
      <c r="V647" s="751">
        <v>2019</v>
      </c>
      <c r="W647" s="222"/>
      <c r="X647" s="186"/>
      <c r="Y647" s="178" t="str">
        <f t="shared" ref="Y647:Y710" si="33">IF(AND($M647=$Y$2,$N647=$Y$3,NOT($Q647=$R647),NOT($U647=0)),IF($K647=5,$S647/($U647+(8/5)*$U647),IF($K647=7,$S647/($U647+(29/25)*$U647),"")),"")</f>
        <v/>
      </c>
      <c r="Z647" s="178" t="str">
        <f t="shared" ref="Z647:Z710" si="34">IF(AND($M647=$Y$2,$N647=$Y$4,NOT($Q647=$R647),NOT($U647=0)),IF($K647=5,$S647/($U647+(8/5)*$U647),IF($K647=7,$S647/($U647+(29/25)*$U647),"")),"")</f>
        <v/>
      </c>
      <c r="AA647" s="44"/>
      <c r="AB647" s="65"/>
    </row>
    <row r="648" spans="1:28" ht="25" hidden="1">
      <c r="A648" s="751">
        <v>10853</v>
      </c>
      <c r="B648" s="752" t="s">
        <v>35</v>
      </c>
      <c r="C648" s="751" t="s">
        <v>2960</v>
      </c>
      <c r="D648" s="752" t="s">
        <v>875</v>
      </c>
      <c r="E648" s="752" t="s">
        <v>2459</v>
      </c>
      <c r="F648" s="751">
        <v>8736</v>
      </c>
      <c r="G648" s="752" t="s">
        <v>59</v>
      </c>
      <c r="H648" s="752" t="s">
        <v>1244</v>
      </c>
      <c r="I648" s="752" t="s">
        <v>60</v>
      </c>
      <c r="J648" s="751">
        <v>322</v>
      </c>
      <c r="K648" s="751">
        <v>6</v>
      </c>
      <c r="L648" s="752" t="s">
        <v>420</v>
      </c>
      <c r="M648" s="752" t="s">
        <v>37</v>
      </c>
      <c r="N648" s="752" t="s">
        <v>38</v>
      </c>
      <c r="O648" s="752" t="s">
        <v>39</v>
      </c>
      <c r="P648" s="752" t="s">
        <v>1238</v>
      </c>
      <c r="Q648" s="753">
        <v>0</v>
      </c>
      <c r="R648" s="753">
        <v>0</v>
      </c>
      <c r="S648" s="753">
        <v>15118</v>
      </c>
      <c r="T648" s="753">
        <v>15118</v>
      </c>
      <c r="U648" s="753">
        <v>1698</v>
      </c>
      <c r="V648" s="751">
        <v>2019</v>
      </c>
      <c r="W648" s="222"/>
      <c r="X648" s="186"/>
      <c r="Y648" s="178" t="str">
        <f t="shared" si="33"/>
        <v/>
      </c>
      <c r="Z648" s="178" t="str">
        <f t="shared" si="34"/>
        <v/>
      </c>
      <c r="AA648" s="44"/>
      <c r="AB648" s="65"/>
    </row>
    <row r="649" spans="1:28" hidden="1">
      <c r="A649" s="751">
        <v>10872</v>
      </c>
      <c r="B649" s="752" t="s">
        <v>35</v>
      </c>
      <c r="C649" s="751" t="s">
        <v>2960</v>
      </c>
      <c r="D649" s="752" t="s">
        <v>2253</v>
      </c>
      <c r="E649" s="752" t="s">
        <v>795</v>
      </c>
      <c r="F649" s="751">
        <v>56590</v>
      </c>
      <c r="G649" s="752" t="s">
        <v>59</v>
      </c>
      <c r="H649" s="752" t="s">
        <v>1244</v>
      </c>
      <c r="I649" s="752" t="s">
        <v>60</v>
      </c>
      <c r="J649" s="751">
        <v>22</v>
      </c>
      <c r="K649" s="751">
        <v>2</v>
      </c>
      <c r="L649" s="752" t="s">
        <v>54</v>
      </c>
      <c r="M649" s="752" t="s">
        <v>37</v>
      </c>
      <c r="N649" s="752" t="s">
        <v>38</v>
      </c>
      <c r="O649" s="752" t="s">
        <v>39</v>
      </c>
      <c r="P649" s="752" t="s">
        <v>1238</v>
      </c>
      <c r="Q649" s="753">
        <v>0</v>
      </c>
      <c r="R649" s="753">
        <v>0</v>
      </c>
      <c r="S649" s="753">
        <v>24022</v>
      </c>
      <c r="T649" s="753">
        <v>24022</v>
      </c>
      <c r="U649" s="753">
        <v>2698</v>
      </c>
      <c r="V649" s="751">
        <v>2019</v>
      </c>
      <c r="W649" s="222"/>
      <c r="X649" s="186"/>
      <c r="Y649" s="178" t="str">
        <f t="shared" si="33"/>
        <v/>
      </c>
      <c r="Z649" s="178" t="str">
        <f t="shared" si="34"/>
        <v/>
      </c>
      <c r="AA649" s="44"/>
      <c r="AB649" s="65"/>
    </row>
    <row r="650" spans="1:28" ht="25" hidden="1">
      <c r="A650" s="751">
        <v>10883</v>
      </c>
      <c r="B650" s="752" t="s">
        <v>56</v>
      </c>
      <c r="C650" s="751" t="s">
        <v>2960</v>
      </c>
      <c r="D650" s="752" t="s">
        <v>428</v>
      </c>
      <c r="E650" s="752" t="s">
        <v>429</v>
      </c>
      <c r="F650" s="751">
        <v>12258</v>
      </c>
      <c r="G650" s="752" t="s">
        <v>83</v>
      </c>
      <c r="H650" s="752" t="s">
        <v>1245</v>
      </c>
      <c r="I650" s="752" t="s">
        <v>60</v>
      </c>
      <c r="J650" s="751">
        <v>622</v>
      </c>
      <c r="K650" s="751">
        <v>5</v>
      </c>
      <c r="L650" s="752" t="s">
        <v>423</v>
      </c>
      <c r="M650" s="752" t="s">
        <v>52</v>
      </c>
      <c r="N650" s="752" t="s">
        <v>48</v>
      </c>
      <c r="O650" s="752" t="s">
        <v>48</v>
      </c>
      <c r="P650" s="752" t="s">
        <v>49</v>
      </c>
      <c r="Q650" s="753">
        <v>8477</v>
      </c>
      <c r="R650" s="753">
        <v>2801</v>
      </c>
      <c r="S650" s="753">
        <v>49844</v>
      </c>
      <c r="T650" s="753">
        <v>16481</v>
      </c>
      <c r="U650" s="753">
        <v>3455.7429999999999</v>
      </c>
      <c r="V650" s="751">
        <v>2019</v>
      </c>
      <c r="W650" s="222"/>
      <c r="X650" s="186" t="str">
        <f>IF(OR(K650&gt;3,T650=0,NOT(U650&gt;0)),"",T650/U650)</f>
        <v/>
      </c>
      <c r="Y650" s="178" t="str">
        <f t="shared" si="33"/>
        <v/>
      </c>
      <c r="Z650" s="178">
        <f t="shared" si="34"/>
        <v>5.5475101102047315</v>
      </c>
      <c r="AA650" s="44"/>
      <c r="AB650" s="65"/>
    </row>
    <row r="651" spans="1:28" ht="25" hidden="1">
      <c r="A651" s="751">
        <v>10883</v>
      </c>
      <c r="B651" s="752" t="s">
        <v>56</v>
      </c>
      <c r="C651" s="751" t="s">
        <v>2960</v>
      </c>
      <c r="D651" s="752" t="s">
        <v>428</v>
      </c>
      <c r="E651" s="752" t="s">
        <v>429</v>
      </c>
      <c r="F651" s="751">
        <v>12258</v>
      </c>
      <c r="G651" s="752" t="s">
        <v>83</v>
      </c>
      <c r="H651" s="752" t="s">
        <v>1245</v>
      </c>
      <c r="I651" s="752" t="s">
        <v>60</v>
      </c>
      <c r="J651" s="751">
        <v>622</v>
      </c>
      <c r="K651" s="751">
        <v>5</v>
      </c>
      <c r="L651" s="752" t="s">
        <v>423</v>
      </c>
      <c r="M651" s="752" t="s">
        <v>52</v>
      </c>
      <c r="N651" s="752" t="s">
        <v>41</v>
      </c>
      <c r="O651" s="752" t="s">
        <v>41</v>
      </c>
      <c r="P651" s="752" t="s">
        <v>1091</v>
      </c>
      <c r="Q651" s="753">
        <v>3265326</v>
      </c>
      <c r="R651" s="753">
        <v>1079712</v>
      </c>
      <c r="S651" s="753">
        <v>3363287</v>
      </c>
      <c r="T651" s="753">
        <v>1112103</v>
      </c>
      <c r="U651" s="753">
        <v>233177.02</v>
      </c>
      <c r="V651" s="751">
        <v>2019</v>
      </c>
      <c r="W651" s="222"/>
      <c r="X651" s="186" t="str">
        <f>IF(OR(K651&gt;3,T651=0,NOT(U651&gt;0)),"",T651/U651)</f>
        <v/>
      </c>
      <c r="Y651" s="178">
        <f t="shared" si="33"/>
        <v>5.5475960841978473</v>
      </c>
      <c r="Z651" s="178" t="str">
        <f t="shared" si="34"/>
        <v/>
      </c>
      <c r="AA651" s="44"/>
      <c r="AB651" s="65"/>
    </row>
    <row r="652" spans="1:28" ht="25" hidden="1">
      <c r="A652" s="751">
        <v>10883</v>
      </c>
      <c r="B652" s="752" t="s">
        <v>56</v>
      </c>
      <c r="C652" s="751" t="s">
        <v>2960</v>
      </c>
      <c r="D652" s="752" t="s">
        <v>428</v>
      </c>
      <c r="E652" s="752" t="s">
        <v>429</v>
      </c>
      <c r="F652" s="751">
        <v>12258</v>
      </c>
      <c r="G652" s="752" t="s">
        <v>83</v>
      </c>
      <c r="H652" s="752" t="s">
        <v>1245</v>
      </c>
      <c r="I652" s="752" t="s">
        <v>60</v>
      </c>
      <c r="J652" s="751">
        <v>622</v>
      </c>
      <c r="K652" s="751">
        <v>5</v>
      </c>
      <c r="L652" s="752" t="s">
        <v>423</v>
      </c>
      <c r="M652" s="752" t="s">
        <v>53</v>
      </c>
      <c r="N652" s="752" t="s">
        <v>48</v>
      </c>
      <c r="O652" s="752" t="s">
        <v>48</v>
      </c>
      <c r="P652" s="752" t="s">
        <v>49</v>
      </c>
      <c r="Q652" s="753">
        <v>5057</v>
      </c>
      <c r="R652" s="753">
        <v>2630</v>
      </c>
      <c r="S652" s="753">
        <v>29735</v>
      </c>
      <c r="T652" s="753">
        <v>15474</v>
      </c>
      <c r="U652" s="753">
        <v>3244.78</v>
      </c>
      <c r="V652" s="751">
        <v>2019</v>
      </c>
      <c r="W652" s="222"/>
      <c r="X652" s="186"/>
      <c r="Y652" s="178" t="str">
        <f t="shared" si="33"/>
        <v/>
      </c>
      <c r="Z652" s="178" t="str">
        <f t="shared" si="34"/>
        <v/>
      </c>
      <c r="AA652" s="44"/>
      <c r="AB652" s="65"/>
    </row>
    <row r="653" spans="1:28" ht="25" hidden="1">
      <c r="A653" s="751">
        <v>10883</v>
      </c>
      <c r="B653" s="752" t="s">
        <v>56</v>
      </c>
      <c r="C653" s="751" t="s">
        <v>2960</v>
      </c>
      <c r="D653" s="752" t="s">
        <v>428</v>
      </c>
      <c r="E653" s="752" t="s">
        <v>429</v>
      </c>
      <c r="F653" s="751">
        <v>12258</v>
      </c>
      <c r="G653" s="752" t="s">
        <v>83</v>
      </c>
      <c r="H653" s="752" t="s">
        <v>1245</v>
      </c>
      <c r="I653" s="752" t="s">
        <v>60</v>
      </c>
      <c r="J653" s="751">
        <v>622</v>
      </c>
      <c r="K653" s="751">
        <v>5</v>
      </c>
      <c r="L653" s="752" t="s">
        <v>423</v>
      </c>
      <c r="M653" s="752" t="s">
        <v>44</v>
      </c>
      <c r="N653" s="752" t="s">
        <v>41</v>
      </c>
      <c r="O653" s="752" t="s">
        <v>41</v>
      </c>
      <c r="P653" s="752" t="s">
        <v>1091</v>
      </c>
      <c r="Q653" s="753">
        <v>4532221</v>
      </c>
      <c r="R653" s="753">
        <v>357498</v>
      </c>
      <c r="S653" s="753">
        <v>4668190</v>
      </c>
      <c r="T653" s="753">
        <v>368225</v>
      </c>
      <c r="U653" s="753">
        <v>76418.539999999994</v>
      </c>
      <c r="V653" s="751">
        <v>2019</v>
      </c>
      <c r="W653" s="222"/>
      <c r="X653" s="186"/>
      <c r="Y653" s="178" t="str">
        <f t="shared" si="33"/>
        <v/>
      </c>
      <c r="Z653" s="178" t="str">
        <f t="shared" si="34"/>
        <v/>
      </c>
      <c r="AA653" s="44"/>
      <c r="AB653" s="65"/>
    </row>
    <row r="654" spans="1:28" ht="25" hidden="1">
      <c r="A654" s="751">
        <v>10902</v>
      </c>
      <c r="B654" s="752" t="s">
        <v>35</v>
      </c>
      <c r="C654" s="751" t="s">
        <v>2960</v>
      </c>
      <c r="D654" s="752" t="s">
        <v>876</v>
      </c>
      <c r="E654" s="752" t="s">
        <v>874</v>
      </c>
      <c r="F654" s="751">
        <v>49997</v>
      </c>
      <c r="G654" s="752" t="s">
        <v>59</v>
      </c>
      <c r="H654" s="752" t="s">
        <v>1244</v>
      </c>
      <c r="I654" s="752" t="s">
        <v>60</v>
      </c>
      <c r="J654" s="751">
        <v>22</v>
      </c>
      <c r="K654" s="751">
        <v>2</v>
      </c>
      <c r="L654" s="752" t="s">
        <v>54</v>
      </c>
      <c r="M654" s="752" t="s">
        <v>37</v>
      </c>
      <c r="N654" s="752" t="s">
        <v>38</v>
      </c>
      <c r="O654" s="752" t="s">
        <v>39</v>
      </c>
      <c r="P654" s="752" t="s">
        <v>1238</v>
      </c>
      <c r="Q654" s="753">
        <v>0</v>
      </c>
      <c r="R654" s="753">
        <v>0</v>
      </c>
      <c r="S654" s="753">
        <v>49577</v>
      </c>
      <c r="T654" s="753">
        <v>49577</v>
      </c>
      <c r="U654" s="753">
        <v>5568</v>
      </c>
      <c r="V654" s="751">
        <v>2019</v>
      </c>
      <c r="W654" s="222"/>
      <c r="X654" s="186"/>
      <c r="Y654" s="178" t="str">
        <f t="shared" si="33"/>
        <v/>
      </c>
      <c r="Z654" s="178" t="str">
        <f t="shared" si="34"/>
        <v/>
      </c>
      <c r="AA654" s="44"/>
      <c r="AB654" s="65"/>
    </row>
    <row r="655" spans="1:28" ht="25" hidden="1">
      <c r="A655" s="751">
        <v>50002</v>
      </c>
      <c r="B655" s="752" t="s">
        <v>56</v>
      </c>
      <c r="C655" s="751" t="s">
        <v>2960</v>
      </c>
      <c r="D655" s="752" t="s">
        <v>877</v>
      </c>
      <c r="E655" s="752" t="s">
        <v>2015</v>
      </c>
      <c r="F655" s="751">
        <v>15114</v>
      </c>
      <c r="G655" s="752" t="s">
        <v>83</v>
      </c>
      <c r="H655" s="752" t="s">
        <v>1245</v>
      </c>
      <c r="I655" s="752" t="s">
        <v>60</v>
      </c>
      <c r="J655" s="751">
        <v>22</v>
      </c>
      <c r="K655" s="751">
        <v>3</v>
      </c>
      <c r="L655" s="752" t="s">
        <v>57</v>
      </c>
      <c r="M655" s="752" t="s">
        <v>40</v>
      </c>
      <c r="N655" s="752" t="s">
        <v>48</v>
      </c>
      <c r="O655" s="752" t="s">
        <v>48</v>
      </c>
      <c r="P655" s="752" t="s">
        <v>49</v>
      </c>
      <c r="Q655" s="753">
        <v>0</v>
      </c>
      <c r="R655" s="753">
        <v>0</v>
      </c>
      <c r="S655" s="753">
        <v>0</v>
      </c>
      <c r="T655" s="753">
        <v>0</v>
      </c>
      <c r="U655" s="753">
        <v>119.254</v>
      </c>
      <c r="V655" s="751">
        <v>2019</v>
      </c>
      <c r="W655" s="222" t="s">
        <v>2666</v>
      </c>
      <c r="X655" s="186" t="str">
        <f>IF(OR(K655&gt;3,T655=0,NOT(U655&gt;0)),"",T655/U655)</f>
        <v/>
      </c>
      <c r="Y655" s="178" t="str">
        <f t="shared" si="33"/>
        <v/>
      </c>
      <c r="Z655" s="178" t="str">
        <f t="shared" si="34"/>
        <v/>
      </c>
      <c r="AA655" s="44"/>
      <c r="AB655" s="65"/>
    </row>
    <row r="656" spans="1:28" ht="12.75" hidden="1" customHeight="1">
      <c r="A656" s="751">
        <v>50002</v>
      </c>
      <c r="B656" s="752" t="s">
        <v>56</v>
      </c>
      <c r="C656" s="751" t="s">
        <v>2960</v>
      </c>
      <c r="D656" s="752" t="s">
        <v>877</v>
      </c>
      <c r="E656" s="752" t="s">
        <v>2015</v>
      </c>
      <c r="F656" s="751">
        <v>15114</v>
      </c>
      <c r="G656" s="752" t="s">
        <v>83</v>
      </c>
      <c r="H656" s="752" t="s">
        <v>1245</v>
      </c>
      <c r="I656" s="752" t="s">
        <v>60</v>
      </c>
      <c r="J656" s="751">
        <v>22</v>
      </c>
      <c r="K656" s="751">
        <v>3</v>
      </c>
      <c r="L656" s="752" t="s">
        <v>57</v>
      </c>
      <c r="M656" s="752" t="s">
        <v>40</v>
      </c>
      <c r="N656" s="752" t="s">
        <v>41</v>
      </c>
      <c r="O656" s="752" t="s">
        <v>41</v>
      </c>
      <c r="P656" s="752" t="s">
        <v>1091</v>
      </c>
      <c r="Q656" s="753">
        <v>0</v>
      </c>
      <c r="R656" s="753">
        <v>0</v>
      </c>
      <c r="S656" s="753">
        <v>0</v>
      </c>
      <c r="T656" s="753">
        <v>0</v>
      </c>
      <c r="U656" s="753">
        <v>25010.745999999999</v>
      </c>
      <c r="V656" s="751">
        <v>2019</v>
      </c>
      <c r="W656" s="222" t="s">
        <v>2666</v>
      </c>
      <c r="X656" s="186" t="str">
        <f>IF(OR(K656&gt;3,T656=0,NOT(U656&gt;0)),"",T656/U656)</f>
        <v/>
      </c>
      <c r="Y656" s="178" t="str">
        <f t="shared" si="33"/>
        <v/>
      </c>
      <c r="Z656" s="178" t="str">
        <f t="shared" si="34"/>
        <v/>
      </c>
      <c r="AA656" s="44"/>
      <c r="AB656" s="65"/>
    </row>
    <row r="657" spans="1:28" ht="25" hidden="1">
      <c r="A657" s="751">
        <v>50002</v>
      </c>
      <c r="B657" s="752" t="s">
        <v>56</v>
      </c>
      <c r="C657" s="751" t="s">
        <v>2960</v>
      </c>
      <c r="D657" s="752" t="s">
        <v>877</v>
      </c>
      <c r="E657" s="752" t="s">
        <v>2015</v>
      </c>
      <c r="F657" s="751">
        <v>15114</v>
      </c>
      <c r="G657" s="752" t="s">
        <v>83</v>
      </c>
      <c r="H657" s="752" t="s">
        <v>1245</v>
      </c>
      <c r="I657" s="752" t="s">
        <v>60</v>
      </c>
      <c r="J657" s="751">
        <v>22</v>
      </c>
      <c r="K657" s="751">
        <v>3</v>
      </c>
      <c r="L657" s="752" t="s">
        <v>57</v>
      </c>
      <c r="M657" s="752" t="s">
        <v>43</v>
      </c>
      <c r="N657" s="752" t="s">
        <v>48</v>
      </c>
      <c r="O657" s="752" t="s">
        <v>48</v>
      </c>
      <c r="P657" s="752" t="s">
        <v>49</v>
      </c>
      <c r="Q657" s="753">
        <v>913</v>
      </c>
      <c r="R657" s="753">
        <v>890</v>
      </c>
      <c r="S657" s="753">
        <v>5296</v>
      </c>
      <c r="T657" s="753">
        <v>5163</v>
      </c>
      <c r="U657" s="753">
        <v>408.27699999999999</v>
      </c>
      <c r="V657" s="751">
        <v>2019</v>
      </c>
      <c r="W657" s="222" t="s">
        <v>2666</v>
      </c>
      <c r="X657" s="186">
        <f>IF(OR(K657&gt;3,T657=0,NOT(U657&gt;0)),"",T657/U657)</f>
        <v>12.64582624051808</v>
      </c>
      <c r="Y657" s="86" t="str">
        <f t="shared" si="33"/>
        <v/>
      </c>
      <c r="Z657" s="86" t="str">
        <f t="shared" si="34"/>
        <v/>
      </c>
      <c r="AA657" s="44"/>
      <c r="AB657" s="65"/>
    </row>
    <row r="658" spans="1:28" ht="12.75" hidden="1" customHeight="1">
      <c r="A658" s="751">
        <v>50002</v>
      </c>
      <c r="B658" s="752" t="s">
        <v>56</v>
      </c>
      <c r="C658" s="751" t="s">
        <v>2960</v>
      </c>
      <c r="D658" s="752" t="s">
        <v>877</v>
      </c>
      <c r="E658" s="752" t="s">
        <v>2015</v>
      </c>
      <c r="F658" s="751">
        <v>15114</v>
      </c>
      <c r="G658" s="752" t="s">
        <v>83</v>
      </c>
      <c r="H658" s="752" t="s">
        <v>1245</v>
      </c>
      <c r="I658" s="752" t="s">
        <v>60</v>
      </c>
      <c r="J658" s="751">
        <v>22</v>
      </c>
      <c r="K658" s="751">
        <v>3</v>
      </c>
      <c r="L658" s="752" t="s">
        <v>57</v>
      </c>
      <c r="M658" s="752" t="s">
        <v>43</v>
      </c>
      <c r="N658" s="752" t="s">
        <v>41</v>
      </c>
      <c r="O658" s="752" t="s">
        <v>41</v>
      </c>
      <c r="P658" s="752" t="s">
        <v>1091</v>
      </c>
      <c r="Q658" s="753">
        <v>709885</v>
      </c>
      <c r="R658" s="753">
        <v>698689</v>
      </c>
      <c r="S658" s="753">
        <v>730904</v>
      </c>
      <c r="T658" s="753">
        <v>719383</v>
      </c>
      <c r="U658" s="753">
        <v>54623.722999999998</v>
      </c>
      <c r="V658" s="751">
        <v>2019</v>
      </c>
      <c r="W658" s="222" t="s">
        <v>2666</v>
      </c>
      <c r="X658" s="186"/>
      <c r="Y658" s="86" t="str">
        <f t="shared" si="33"/>
        <v/>
      </c>
      <c r="Z658" s="86" t="str">
        <f t="shared" si="34"/>
        <v/>
      </c>
      <c r="AA658" s="44"/>
      <c r="AB658" s="65"/>
    </row>
    <row r="659" spans="1:28" hidden="1">
      <c r="A659" s="751">
        <v>50031</v>
      </c>
      <c r="B659" s="752" t="s">
        <v>35</v>
      </c>
      <c r="C659" s="751" t="s">
        <v>2960</v>
      </c>
      <c r="D659" s="752" t="s">
        <v>1768</v>
      </c>
      <c r="E659" s="752" t="s">
        <v>1769</v>
      </c>
      <c r="F659" s="751">
        <v>57184</v>
      </c>
      <c r="G659" s="752" t="s">
        <v>59</v>
      </c>
      <c r="H659" s="752" t="s">
        <v>1244</v>
      </c>
      <c r="I659" s="752" t="s">
        <v>60</v>
      </c>
      <c r="J659" s="751">
        <v>22</v>
      </c>
      <c r="K659" s="751">
        <v>2</v>
      </c>
      <c r="L659" s="752" t="s">
        <v>54</v>
      </c>
      <c r="M659" s="752" t="s">
        <v>37</v>
      </c>
      <c r="N659" s="752" t="s">
        <v>38</v>
      </c>
      <c r="O659" s="752" t="s">
        <v>39</v>
      </c>
      <c r="P659" s="752" t="s">
        <v>1238</v>
      </c>
      <c r="Q659" s="753">
        <v>0</v>
      </c>
      <c r="R659" s="753">
        <v>0</v>
      </c>
      <c r="S659" s="753">
        <v>82575</v>
      </c>
      <c r="T659" s="753">
        <v>82575</v>
      </c>
      <c r="U659" s="753">
        <v>9274</v>
      </c>
      <c r="V659" s="751">
        <v>2019</v>
      </c>
      <c r="W659" s="222"/>
      <c r="X659" s="186"/>
      <c r="Y659" s="86" t="str">
        <f t="shared" si="33"/>
        <v/>
      </c>
      <c r="Z659" s="86" t="str">
        <f t="shared" si="34"/>
        <v/>
      </c>
      <c r="AA659" s="44"/>
      <c r="AB659" s="65"/>
    </row>
    <row r="660" spans="1:28" hidden="1">
      <c r="A660" s="751">
        <v>50034</v>
      </c>
      <c r="B660" s="752" t="s">
        <v>35</v>
      </c>
      <c r="C660" s="751" t="s">
        <v>2960</v>
      </c>
      <c r="D660" s="752" t="s">
        <v>878</v>
      </c>
      <c r="E660" s="752" t="s">
        <v>879</v>
      </c>
      <c r="F660" s="751">
        <v>19774</v>
      </c>
      <c r="G660" s="752" t="s">
        <v>59</v>
      </c>
      <c r="H660" s="752" t="s">
        <v>1244</v>
      </c>
      <c r="I660" s="752" t="s">
        <v>60</v>
      </c>
      <c r="J660" s="751">
        <v>22</v>
      </c>
      <c r="K660" s="751">
        <v>2</v>
      </c>
      <c r="L660" s="752" t="s">
        <v>54</v>
      </c>
      <c r="M660" s="752" t="s">
        <v>37</v>
      </c>
      <c r="N660" s="752" t="s">
        <v>38</v>
      </c>
      <c r="O660" s="752" t="s">
        <v>39</v>
      </c>
      <c r="P660" s="752" t="s">
        <v>1238</v>
      </c>
      <c r="Q660" s="753">
        <v>0</v>
      </c>
      <c r="R660" s="753">
        <v>0</v>
      </c>
      <c r="S660" s="753">
        <v>47661</v>
      </c>
      <c r="T660" s="753">
        <v>47661</v>
      </c>
      <c r="U660" s="753">
        <v>5353</v>
      </c>
      <c r="V660" s="751">
        <v>2019</v>
      </c>
      <c r="W660" s="222"/>
      <c r="X660" s="186">
        <f>IF(OR(K660&gt;3,T660=0,NOT(U660&gt;0)),"",T660/U660)</f>
        <v>8.9036054548851116</v>
      </c>
      <c r="Y660" s="86" t="str">
        <f t="shared" si="33"/>
        <v/>
      </c>
      <c r="Z660" s="86" t="str">
        <f t="shared" si="34"/>
        <v/>
      </c>
      <c r="AA660" s="44"/>
      <c r="AB660" s="65"/>
    </row>
    <row r="661" spans="1:28" ht="25" hidden="1">
      <c r="A661" s="751">
        <v>50035</v>
      </c>
      <c r="B661" s="752" t="s">
        <v>35</v>
      </c>
      <c r="C661" s="751" t="s">
        <v>2960</v>
      </c>
      <c r="D661" s="752" t="s">
        <v>880</v>
      </c>
      <c r="E661" s="752" t="s">
        <v>2460</v>
      </c>
      <c r="F661" s="751">
        <v>22219</v>
      </c>
      <c r="G661" s="752" t="s">
        <v>92</v>
      </c>
      <c r="H661" s="752" t="s">
        <v>1245</v>
      </c>
      <c r="I661" s="752" t="s">
        <v>60</v>
      </c>
      <c r="J661" s="751">
        <v>562212</v>
      </c>
      <c r="K661" s="751">
        <v>4</v>
      </c>
      <c r="L661" s="752" t="s">
        <v>422</v>
      </c>
      <c r="M661" s="752" t="s">
        <v>44</v>
      </c>
      <c r="N661" s="752" t="s">
        <v>18</v>
      </c>
      <c r="O661" s="752" t="s">
        <v>66</v>
      </c>
      <c r="P661" s="752" t="s">
        <v>47</v>
      </c>
      <c r="Q661" s="753">
        <v>43675</v>
      </c>
      <c r="R661" s="753">
        <v>43675</v>
      </c>
      <c r="S661" s="753">
        <v>335079</v>
      </c>
      <c r="T661" s="753">
        <v>335079</v>
      </c>
      <c r="U661" s="753">
        <v>7205.0619999999999</v>
      </c>
      <c r="V661" s="751">
        <v>2019</v>
      </c>
      <c r="W661" s="222"/>
      <c r="X661" s="186" t="str">
        <f>IF(OR(K661&gt;3,T661=0,NOT(U661&gt;0)),"",T661/U661)</f>
        <v/>
      </c>
      <c r="Y661" s="86" t="str">
        <f t="shared" si="33"/>
        <v/>
      </c>
      <c r="Z661" s="86" t="str">
        <f t="shared" si="34"/>
        <v/>
      </c>
      <c r="AA661" s="44"/>
      <c r="AB661" s="65"/>
    </row>
    <row r="662" spans="1:28" ht="25" hidden="1">
      <c r="A662" s="751">
        <v>50035</v>
      </c>
      <c r="B662" s="752" t="s">
        <v>35</v>
      </c>
      <c r="C662" s="751" t="s">
        <v>2960</v>
      </c>
      <c r="D662" s="752" t="s">
        <v>880</v>
      </c>
      <c r="E662" s="752" t="s">
        <v>2460</v>
      </c>
      <c r="F662" s="751">
        <v>22219</v>
      </c>
      <c r="G662" s="752" t="s">
        <v>92</v>
      </c>
      <c r="H662" s="752" t="s">
        <v>1245</v>
      </c>
      <c r="I662" s="752" t="s">
        <v>60</v>
      </c>
      <c r="J662" s="751">
        <v>562212</v>
      </c>
      <c r="K662" s="751">
        <v>4</v>
      </c>
      <c r="L662" s="752" t="s">
        <v>422</v>
      </c>
      <c r="M662" s="752" t="s">
        <v>44</v>
      </c>
      <c r="N662" s="752" t="s">
        <v>19</v>
      </c>
      <c r="O662" s="752" t="s">
        <v>84</v>
      </c>
      <c r="P662" s="752" t="s">
        <v>47</v>
      </c>
      <c r="Q662" s="753">
        <v>27924</v>
      </c>
      <c r="R662" s="753">
        <v>27924</v>
      </c>
      <c r="S662" s="753">
        <v>409547</v>
      </c>
      <c r="T662" s="753">
        <v>409547</v>
      </c>
      <c r="U662" s="753">
        <v>8806.268</v>
      </c>
      <c r="V662" s="751">
        <v>2019</v>
      </c>
      <c r="W662" s="222"/>
      <c r="X662" s="186" t="str">
        <f>IF(OR(K662&gt;3,T662=0,NOT(U662&gt;0)),"",T662/U662)</f>
        <v/>
      </c>
      <c r="Y662" s="86" t="str">
        <f t="shared" si="33"/>
        <v/>
      </c>
      <c r="Z662" s="86" t="str">
        <f t="shared" si="34"/>
        <v/>
      </c>
      <c r="AA662" s="44"/>
      <c r="AB662" s="65"/>
    </row>
    <row r="663" spans="1:28" ht="25" hidden="1">
      <c r="A663" s="751">
        <v>50035</v>
      </c>
      <c r="B663" s="752" t="s">
        <v>35</v>
      </c>
      <c r="C663" s="751" t="s">
        <v>2960</v>
      </c>
      <c r="D663" s="752" t="s">
        <v>880</v>
      </c>
      <c r="E663" s="752" t="s">
        <v>2460</v>
      </c>
      <c r="F663" s="751">
        <v>22219</v>
      </c>
      <c r="G663" s="752" t="s">
        <v>92</v>
      </c>
      <c r="H663" s="752" t="s">
        <v>1245</v>
      </c>
      <c r="I663" s="752" t="s">
        <v>60</v>
      </c>
      <c r="J663" s="751">
        <v>562212</v>
      </c>
      <c r="K663" s="751">
        <v>4</v>
      </c>
      <c r="L663" s="752" t="s">
        <v>422</v>
      </c>
      <c r="M663" s="752" t="s">
        <v>44</v>
      </c>
      <c r="N663" s="752" t="s">
        <v>41</v>
      </c>
      <c r="O663" s="752" t="s">
        <v>41</v>
      </c>
      <c r="P663" s="752" t="s">
        <v>1091</v>
      </c>
      <c r="Q663" s="753">
        <v>4080</v>
      </c>
      <c r="R663" s="753">
        <v>4080</v>
      </c>
      <c r="S663" s="753">
        <v>4080</v>
      </c>
      <c r="T663" s="753">
        <v>4080</v>
      </c>
      <c r="U663" s="753">
        <v>88.67</v>
      </c>
      <c r="V663" s="751">
        <v>2019</v>
      </c>
      <c r="W663" s="222"/>
      <c r="X663" s="186" t="str">
        <f>IF(OR(K663&gt;3,T663=0,NOT(U663&gt;0)),"",T663/U663)</f>
        <v/>
      </c>
      <c r="Y663" s="178" t="str">
        <f t="shared" si="33"/>
        <v/>
      </c>
      <c r="Z663" s="178" t="str">
        <f t="shared" si="34"/>
        <v/>
      </c>
      <c r="AA663" s="44"/>
      <c r="AB663" s="65"/>
    </row>
    <row r="664" spans="1:28" ht="25" hidden="1">
      <c r="A664" s="751">
        <v>50041</v>
      </c>
      <c r="B664" s="752" t="s">
        <v>56</v>
      </c>
      <c r="C664" s="751" t="s">
        <v>2960</v>
      </c>
      <c r="D664" s="752" t="s">
        <v>881</v>
      </c>
      <c r="E664" s="752" t="s">
        <v>882</v>
      </c>
      <c r="F664" s="751">
        <v>16544</v>
      </c>
      <c r="G664" s="752" t="s">
        <v>83</v>
      </c>
      <c r="H664" s="752" t="s">
        <v>1245</v>
      </c>
      <c r="I664" s="752" t="s">
        <v>60</v>
      </c>
      <c r="J664" s="751">
        <v>327</v>
      </c>
      <c r="K664" s="751">
        <v>7</v>
      </c>
      <c r="L664" s="752" t="s">
        <v>419</v>
      </c>
      <c r="M664" s="752" t="s">
        <v>44</v>
      </c>
      <c r="N664" s="752" t="s">
        <v>45</v>
      </c>
      <c r="O664" s="752" t="s">
        <v>46</v>
      </c>
      <c r="P664" s="752" t="s">
        <v>47</v>
      </c>
      <c r="Q664" s="753">
        <v>0</v>
      </c>
      <c r="R664" s="753">
        <v>0</v>
      </c>
      <c r="S664" s="753">
        <v>0</v>
      </c>
      <c r="T664" s="753">
        <v>0</v>
      </c>
      <c r="U664" s="753">
        <v>0</v>
      </c>
      <c r="V664" s="751">
        <v>2019</v>
      </c>
      <c r="W664" s="222"/>
      <c r="X664" s="186"/>
      <c r="Y664" s="178" t="str">
        <f t="shared" si="33"/>
        <v/>
      </c>
      <c r="Z664" s="178" t="str">
        <f t="shared" si="34"/>
        <v/>
      </c>
      <c r="AA664" s="44"/>
      <c r="AB664" s="65"/>
    </row>
    <row r="665" spans="1:28" hidden="1">
      <c r="A665" s="751">
        <v>50041</v>
      </c>
      <c r="B665" s="752" t="s">
        <v>56</v>
      </c>
      <c r="C665" s="751" t="s">
        <v>2960</v>
      </c>
      <c r="D665" s="752" t="s">
        <v>881</v>
      </c>
      <c r="E665" s="752" t="s">
        <v>882</v>
      </c>
      <c r="F665" s="751">
        <v>16544</v>
      </c>
      <c r="G665" s="752" t="s">
        <v>83</v>
      </c>
      <c r="H665" s="752" t="s">
        <v>1245</v>
      </c>
      <c r="I665" s="752" t="s">
        <v>60</v>
      </c>
      <c r="J665" s="751">
        <v>327</v>
      </c>
      <c r="K665" s="751">
        <v>7</v>
      </c>
      <c r="L665" s="752" t="s">
        <v>419</v>
      </c>
      <c r="M665" s="752" t="s">
        <v>44</v>
      </c>
      <c r="N665" s="752" t="s">
        <v>41</v>
      </c>
      <c r="O665" s="752" t="s">
        <v>41</v>
      </c>
      <c r="P665" s="752" t="s">
        <v>1091</v>
      </c>
      <c r="Q665" s="753">
        <v>1109273</v>
      </c>
      <c r="R665" s="753">
        <v>315711</v>
      </c>
      <c r="S665" s="753">
        <v>1142551</v>
      </c>
      <c r="T665" s="753">
        <v>325181</v>
      </c>
      <c r="U665" s="753">
        <v>37127</v>
      </c>
      <c r="V665" s="751">
        <v>2019</v>
      </c>
      <c r="W665" s="222"/>
      <c r="X665" s="186"/>
      <c r="Y665" s="178" t="str">
        <f t="shared" si="33"/>
        <v/>
      </c>
      <c r="Z665" s="178" t="str">
        <f t="shared" si="34"/>
        <v/>
      </c>
      <c r="AA665" s="44"/>
      <c r="AB665" s="65"/>
    </row>
    <row r="666" spans="1:28" hidden="1">
      <c r="A666" s="751">
        <v>50047</v>
      </c>
      <c r="B666" s="752" t="s">
        <v>35</v>
      </c>
      <c r="C666" s="751" t="s">
        <v>2960</v>
      </c>
      <c r="D666" s="752" t="s">
        <v>883</v>
      </c>
      <c r="E666" s="752" t="s">
        <v>1159</v>
      </c>
      <c r="F666" s="751">
        <v>57280</v>
      </c>
      <c r="G666" s="752" t="s">
        <v>92</v>
      </c>
      <c r="H666" s="752" t="s">
        <v>1245</v>
      </c>
      <c r="I666" s="752" t="s">
        <v>60</v>
      </c>
      <c r="J666" s="751">
        <v>22</v>
      </c>
      <c r="K666" s="751">
        <v>2</v>
      </c>
      <c r="L666" s="752" t="s">
        <v>54</v>
      </c>
      <c r="M666" s="752" t="s">
        <v>37</v>
      </c>
      <c r="N666" s="752" t="s">
        <v>38</v>
      </c>
      <c r="O666" s="752" t="s">
        <v>39</v>
      </c>
      <c r="P666" s="752" t="s">
        <v>1238</v>
      </c>
      <c r="Q666" s="753">
        <v>0</v>
      </c>
      <c r="R666" s="753">
        <v>0</v>
      </c>
      <c r="S666" s="753">
        <v>140629</v>
      </c>
      <c r="T666" s="753">
        <v>140629</v>
      </c>
      <c r="U666" s="753">
        <v>15794</v>
      </c>
      <c r="V666" s="751">
        <v>2019</v>
      </c>
      <c r="W666" s="222"/>
      <c r="X666" s="186">
        <f>IF(OR(K666&gt;3,T666=0,NOT(U666&gt;0)),"",T666/U666)</f>
        <v>8.9039508674180077</v>
      </c>
      <c r="Y666" s="178" t="str">
        <f t="shared" si="33"/>
        <v/>
      </c>
      <c r="Z666" s="178" t="str">
        <f t="shared" si="34"/>
        <v/>
      </c>
      <c r="AA666" s="44"/>
      <c r="AB666" s="65"/>
    </row>
    <row r="667" spans="1:28" ht="25" hidden="1">
      <c r="A667" s="751">
        <v>50051</v>
      </c>
      <c r="B667" s="752" t="s">
        <v>35</v>
      </c>
      <c r="C667" s="751" t="s">
        <v>2960</v>
      </c>
      <c r="D667" s="752" t="s">
        <v>884</v>
      </c>
      <c r="E667" s="752" t="s">
        <v>885</v>
      </c>
      <c r="F667" s="751">
        <v>6036</v>
      </c>
      <c r="G667" s="752" t="s">
        <v>92</v>
      </c>
      <c r="H667" s="752" t="s">
        <v>1245</v>
      </c>
      <c r="I667" s="752" t="s">
        <v>60</v>
      </c>
      <c r="J667" s="751">
        <v>562212</v>
      </c>
      <c r="K667" s="751">
        <v>4</v>
      </c>
      <c r="L667" s="752" t="s">
        <v>422</v>
      </c>
      <c r="M667" s="752" t="s">
        <v>44</v>
      </c>
      <c r="N667" s="752" t="s">
        <v>48</v>
      </c>
      <c r="O667" s="752" t="s">
        <v>48</v>
      </c>
      <c r="P667" s="752" t="s">
        <v>49</v>
      </c>
      <c r="Q667" s="753">
        <v>7798</v>
      </c>
      <c r="R667" s="753">
        <v>7798</v>
      </c>
      <c r="S667" s="753">
        <v>46007</v>
      </c>
      <c r="T667" s="753">
        <v>46007</v>
      </c>
      <c r="U667" s="753">
        <v>2285.415</v>
      </c>
      <c r="V667" s="751">
        <v>2019</v>
      </c>
      <c r="W667" s="222"/>
      <c r="X667" s="186" t="str">
        <f>IF(OR(K667&gt;3,T667=0,NOT(U667&gt;0)),"",T667/U667)</f>
        <v/>
      </c>
      <c r="Y667" s="178" t="str">
        <f t="shared" si="33"/>
        <v/>
      </c>
      <c r="Z667" s="178" t="str">
        <f t="shared" si="34"/>
        <v/>
      </c>
      <c r="AA667" s="44"/>
      <c r="AB667" s="65"/>
    </row>
    <row r="668" spans="1:28" ht="25" hidden="1">
      <c r="A668" s="751">
        <v>50051</v>
      </c>
      <c r="B668" s="752" t="s">
        <v>35</v>
      </c>
      <c r="C668" s="751" t="s">
        <v>2960</v>
      </c>
      <c r="D668" s="752" t="s">
        <v>884</v>
      </c>
      <c r="E668" s="752" t="s">
        <v>885</v>
      </c>
      <c r="F668" s="751">
        <v>6036</v>
      </c>
      <c r="G668" s="752" t="s">
        <v>92</v>
      </c>
      <c r="H668" s="752" t="s">
        <v>1245</v>
      </c>
      <c r="I668" s="752" t="s">
        <v>60</v>
      </c>
      <c r="J668" s="751">
        <v>562212</v>
      </c>
      <c r="K668" s="751">
        <v>4</v>
      </c>
      <c r="L668" s="752" t="s">
        <v>422</v>
      </c>
      <c r="M668" s="752" t="s">
        <v>44</v>
      </c>
      <c r="N668" s="752" t="s">
        <v>18</v>
      </c>
      <c r="O668" s="752" t="s">
        <v>66</v>
      </c>
      <c r="P668" s="752" t="s">
        <v>47</v>
      </c>
      <c r="Q668" s="753">
        <v>96289</v>
      </c>
      <c r="R668" s="753">
        <v>96289</v>
      </c>
      <c r="S668" s="753">
        <v>752932</v>
      </c>
      <c r="T668" s="753">
        <v>752932</v>
      </c>
      <c r="U668" s="753">
        <v>37357.430999999997</v>
      </c>
      <c r="V668" s="751">
        <v>2019</v>
      </c>
      <c r="W668" s="222"/>
      <c r="X668" s="186" t="str">
        <f>IF(OR(K668&gt;3,T668=0,NOT(U668&gt;0)),"",T668/U668)</f>
        <v/>
      </c>
      <c r="Y668" s="86" t="str">
        <f t="shared" si="33"/>
        <v/>
      </c>
      <c r="Z668" s="86" t="str">
        <f t="shared" si="34"/>
        <v/>
      </c>
      <c r="AA668" s="44"/>
      <c r="AB668" s="65"/>
    </row>
    <row r="669" spans="1:28" ht="25" hidden="1">
      <c r="A669" s="751">
        <v>50051</v>
      </c>
      <c r="B669" s="752" t="s">
        <v>35</v>
      </c>
      <c r="C669" s="751" t="s">
        <v>2960</v>
      </c>
      <c r="D669" s="752" t="s">
        <v>884</v>
      </c>
      <c r="E669" s="752" t="s">
        <v>885</v>
      </c>
      <c r="F669" s="751">
        <v>6036</v>
      </c>
      <c r="G669" s="752" t="s">
        <v>92</v>
      </c>
      <c r="H669" s="752" t="s">
        <v>1245</v>
      </c>
      <c r="I669" s="752" t="s">
        <v>60</v>
      </c>
      <c r="J669" s="751">
        <v>562212</v>
      </c>
      <c r="K669" s="751">
        <v>4</v>
      </c>
      <c r="L669" s="752" t="s">
        <v>422</v>
      </c>
      <c r="M669" s="752" t="s">
        <v>44</v>
      </c>
      <c r="N669" s="752" t="s">
        <v>19</v>
      </c>
      <c r="O669" s="752" t="s">
        <v>84</v>
      </c>
      <c r="P669" s="752" t="s">
        <v>47</v>
      </c>
      <c r="Q669" s="753">
        <v>61562</v>
      </c>
      <c r="R669" s="753">
        <v>61562</v>
      </c>
      <c r="S669" s="753">
        <v>920275</v>
      </c>
      <c r="T669" s="753">
        <v>920275</v>
      </c>
      <c r="U669" s="753">
        <v>45660.154000000002</v>
      </c>
      <c r="V669" s="751">
        <v>2019</v>
      </c>
      <c r="W669" s="222"/>
      <c r="X669" s="186" t="str">
        <f>IF(OR(K669&gt;3,T669=0,NOT(U669&gt;0)),"",T669/U669)</f>
        <v/>
      </c>
      <c r="Y669" s="86" t="str">
        <f t="shared" si="33"/>
        <v/>
      </c>
      <c r="Z669" s="86" t="str">
        <f t="shared" si="34"/>
        <v/>
      </c>
      <c r="AA669" s="44"/>
      <c r="AB669" s="65"/>
    </row>
    <row r="670" spans="1:28" ht="25" hidden="1">
      <c r="A670" s="751">
        <v>50051</v>
      </c>
      <c r="B670" s="752" t="s">
        <v>35</v>
      </c>
      <c r="C670" s="751" t="s">
        <v>2960</v>
      </c>
      <c r="D670" s="752" t="s">
        <v>884</v>
      </c>
      <c r="E670" s="752" t="s">
        <v>885</v>
      </c>
      <c r="F670" s="751">
        <v>6036</v>
      </c>
      <c r="G670" s="752" t="s">
        <v>92</v>
      </c>
      <c r="H670" s="752" t="s">
        <v>1245</v>
      </c>
      <c r="I670" s="752" t="s">
        <v>60</v>
      </c>
      <c r="J670" s="751">
        <v>562212</v>
      </c>
      <c r="K670" s="751">
        <v>4</v>
      </c>
      <c r="L670" s="752" t="s">
        <v>422</v>
      </c>
      <c r="M670" s="752" t="s">
        <v>44</v>
      </c>
      <c r="N670" s="752" t="s">
        <v>71</v>
      </c>
      <c r="O670" s="752" t="s">
        <v>72</v>
      </c>
      <c r="P670" s="752" t="s">
        <v>47</v>
      </c>
      <c r="Q670" s="753">
        <v>0</v>
      </c>
      <c r="R670" s="753">
        <v>0</v>
      </c>
      <c r="S670" s="753">
        <v>0</v>
      </c>
      <c r="T670" s="753">
        <v>0</v>
      </c>
      <c r="U670" s="753">
        <v>0</v>
      </c>
      <c r="V670" s="751">
        <v>2019</v>
      </c>
      <c r="W670" s="222"/>
      <c r="X670" s="186"/>
      <c r="Y670" s="86" t="str">
        <f t="shared" si="33"/>
        <v/>
      </c>
      <c r="Z670" s="86" t="str">
        <f t="shared" si="34"/>
        <v/>
      </c>
      <c r="AA670" s="44"/>
      <c r="AB670" s="65"/>
    </row>
    <row r="671" spans="1:28" hidden="1">
      <c r="A671" s="751">
        <v>50079</v>
      </c>
      <c r="B671" s="752" t="s">
        <v>35</v>
      </c>
      <c r="C671" s="751" t="s">
        <v>2960</v>
      </c>
      <c r="D671" s="752" t="s">
        <v>886</v>
      </c>
      <c r="E671" s="752" t="s">
        <v>840</v>
      </c>
      <c r="F671" s="751">
        <v>34688</v>
      </c>
      <c r="G671" s="752" t="s">
        <v>59</v>
      </c>
      <c r="H671" s="752" t="s">
        <v>1244</v>
      </c>
      <c r="I671" s="752" t="s">
        <v>60</v>
      </c>
      <c r="J671" s="751">
        <v>22</v>
      </c>
      <c r="K671" s="751">
        <v>2</v>
      </c>
      <c r="L671" s="752" t="s">
        <v>54</v>
      </c>
      <c r="M671" s="752" t="s">
        <v>37</v>
      </c>
      <c r="N671" s="752" t="s">
        <v>38</v>
      </c>
      <c r="O671" s="752" t="s">
        <v>39</v>
      </c>
      <c r="P671" s="752" t="s">
        <v>1238</v>
      </c>
      <c r="Q671" s="753">
        <v>0</v>
      </c>
      <c r="R671" s="753">
        <v>0</v>
      </c>
      <c r="S671" s="753">
        <v>42462</v>
      </c>
      <c r="T671" s="753">
        <v>42462</v>
      </c>
      <c r="U671" s="753">
        <v>4769</v>
      </c>
      <c r="V671" s="751">
        <v>2019</v>
      </c>
      <c r="W671" s="222"/>
      <c r="X671" s="186"/>
      <c r="Y671" s="86" t="str">
        <f t="shared" si="33"/>
        <v/>
      </c>
      <c r="Z671" s="86" t="str">
        <f t="shared" si="34"/>
        <v/>
      </c>
      <c r="AA671" s="44"/>
      <c r="AB671" s="65"/>
    </row>
    <row r="672" spans="1:28" hidden="1">
      <c r="A672" s="751">
        <v>50080</v>
      </c>
      <c r="B672" s="752" t="s">
        <v>35</v>
      </c>
      <c r="C672" s="751" t="s">
        <v>2960</v>
      </c>
      <c r="D672" s="752" t="s">
        <v>887</v>
      </c>
      <c r="E672" s="752" t="s">
        <v>1159</v>
      </c>
      <c r="F672" s="751">
        <v>57280</v>
      </c>
      <c r="G672" s="752" t="s">
        <v>92</v>
      </c>
      <c r="H672" s="752" t="s">
        <v>1245</v>
      </c>
      <c r="I672" s="752" t="s">
        <v>60</v>
      </c>
      <c r="J672" s="751">
        <v>22</v>
      </c>
      <c r="K672" s="751">
        <v>2</v>
      </c>
      <c r="L672" s="752" t="s">
        <v>54</v>
      </c>
      <c r="M672" s="752" t="s">
        <v>37</v>
      </c>
      <c r="N672" s="752" t="s">
        <v>38</v>
      </c>
      <c r="O672" s="752" t="s">
        <v>39</v>
      </c>
      <c r="P672" s="752" t="s">
        <v>1238</v>
      </c>
      <c r="Q672" s="753">
        <v>0</v>
      </c>
      <c r="R672" s="753">
        <v>0</v>
      </c>
      <c r="S672" s="753">
        <v>496994</v>
      </c>
      <c r="T672" s="753">
        <v>496994</v>
      </c>
      <c r="U672" s="753">
        <v>55817</v>
      </c>
      <c r="V672" s="751">
        <v>2019</v>
      </c>
      <c r="W672" s="222"/>
      <c r="X672" s="186"/>
      <c r="Y672" s="86" t="str">
        <f t="shared" si="33"/>
        <v/>
      </c>
      <c r="Z672" s="86" t="str">
        <f t="shared" si="34"/>
        <v/>
      </c>
      <c r="AA672" s="44"/>
      <c r="AB672" s="65"/>
    </row>
    <row r="673" spans="1:28" hidden="1">
      <c r="A673" s="751">
        <v>50081</v>
      </c>
      <c r="B673" s="752" t="s">
        <v>35</v>
      </c>
      <c r="C673" s="751" t="s">
        <v>2960</v>
      </c>
      <c r="D673" s="752" t="s">
        <v>888</v>
      </c>
      <c r="E673" s="752" t="s">
        <v>1159</v>
      </c>
      <c r="F673" s="751">
        <v>57280</v>
      </c>
      <c r="G673" s="752" t="s">
        <v>92</v>
      </c>
      <c r="H673" s="752" t="s">
        <v>1245</v>
      </c>
      <c r="I673" s="752" t="s">
        <v>60</v>
      </c>
      <c r="J673" s="751">
        <v>22</v>
      </c>
      <c r="K673" s="751">
        <v>2</v>
      </c>
      <c r="L673" s="752" t="s">
        <v>54</v>
      </c>
      <c r="M673" s="752" t="s">
        <v>37</v>
      </c>
      <c r="N673" s="752" t="s">
        <v>38</v>
      </c>
      <c r="O673" s="752" t="s">
        <v>39</v>
      </c>
      <c r="P673" s="752" t="s">
        <v>1238</v>
      </c>
      <c r="Q673" s="753">
        <v>0</v>
      </c>
      <c r="R673" s="753">
        <v>0</v>
      </c>
      <c r="S673" s="753">
        <v>199397</v>
      </c>
      <c r="T673" s="753">
        <v>199397</v>
      </c>
      <c r="U673" s="753">
        <v>22394</v>
      </c>
      <c r="V673" s="751">
        <v>2019</v>
      </c>
      <c r="W673" s="222"/>
      <c r="X673" s="186"/>
      <c r="Y673" s="178" t="str">
        <f t="shared" si="33"/>
        <v/>
      </c>
      <c r="Z673" s="178" t="str">
        <f t="shared" si="34"/>
        <v/>
      </c>
      <c r="AA673" s="44"/>
      <c r="AB673" s="65"/>
    </row>
    <row r="674" spans="1:28" ht="25" hidden="1">
      <c r="A674" s="751">
        <v>50082</v>
      </c>
      <c r="B674" s="752" t="s">
        <v>35</v>
      </c>
      <c r="C674" s="751" t="s">
        <v>2960</v>
      </c>
      <c r="D674" s="752" t="s">
        <v>889</v>
      </c>
      <c r="E674" s="752" t="s">
        <v>1159</v>
      </c>
      <c r="F674" s="751">
        <v>57280</v>
      </c>
      <c r="G674" s="752" t="s">
        <v>92</v>
      </c>
      <c r="H674" s="752" t="s">
        <v>1245</v>
      </c>
      <c r="I674" s="752" t="s">
        <v>60</v>
      </c>
      <c r="J674" s="751">
        <v>22</v>
      </c>
      <c r="K674" s="751">
        <v>2</v>
      </c>
      <c r="L674" s="752" t="s">
        <v>54</v>
      </c>
      <c r="M674" s="752" t="s">
        <v>37</v>
      </c>
      <c r="N674" s="752" t="s">
        <v>38</v>
      </c>
      <c r="O674" s="752" t="s">
        <v>39</v>
      </c>
      <c r="P674" s="752" t="s">
        <v>1238</v>
      </c>
      <c r="Q674" s="753">
        <v>0</v>
      </c>
      <c r="R674" s="753">
        <v>0</v>
      </c>
      <c r="S674" s="753">
        <v>338263</v>
      </c>
      <c r="T674" s="753">
        <v>338263</v>
      </c>
      <c r="U674" s="753">
        <v>37990</v>
      </c>
      <c r="V674" s="751">
        <v>2019</v>
      </c>
      <c r="W674" s="222"/>
      <c r="X674" s="186">
        <f>IF(OR(K674&gt;3,T674=0,NOT(U674&gt;0)),"",T674/U674)</f>
        <v>8.9040010529086597</v>
      </c>
      <c r="Y674" s="178" t="str">
        <f t="shared" si="33"/>
        <v/>
      </c>
      <c r="Z674" s="178" t="str">
        <f t="shared" si="34"/>
        <v/>
      </c>
      <c r="AA674" s="44"/>
      <c r="AB674" s="65"/>
    </row>
    <row r="675" spans="1:28" ht="25" hidden="1">
      <c r="A675" s="751">
        <v>50087</v>
      </c>
      <c r="B675" s="752" t="s">
        <v>56</v>
      </c>
      <c r="C675" s="751" t="s">
        <v>2960</v>
      </c>
      <c r="D675" s="752" t="s">
        <v>890</v>
      </c>
      <c r="E675" s="752" t="s">
        <v>891</v>
      </c>
      <c r="F675" s="751">
        <v>23955</v>
      </c>
      <c r="G675" s="752" t="s">
        <v>83</v>
      </c>
      <c r="H675" s="752" t="s">
        <v>1245</v>
      </c>
      <c r="I675" s="752" t="s">
        <v>60</v>
      </c>
      <c r="J675" s="751">
        <v>611</v>
      </c>
      <c r="K675" s="751">
        <v>5</v>
      </c>
      <c r="L675" s="752" t="s">
        <v>423</v>
      </c>
      <c r="M675" s="752" t="s">
        <v>52</v>
      </c>
      <c r="N675" s="752" t="s">
        <v>48</v>
      </c>
      <c r="O675" s="752" t="s">
        <v>48</v>
      </c>
      <c r="P675" s="752" t="s">
        <v>49</v>
      </c>
      <c r="Q675" s="753">
        <v>67</v>
      </c>
      <c r="R675" s="753">
        <v>45</v>
      </c>
      <c r="S675" s="753">
        <v>389</v>
      </c>
      <c r="T675" s="753">
        <v>247</v>
      </c>
      <c r="U675" s="753">
        <v>39.819000000000003</v>
      </c>
      <c r="V675" s="751">
        <v>2019</v>
      </c>
      <c r="W675" s="222"/>
      <c r="X675" s="186" t="str">
        <f>IF(OR(K675&gt;3,T675=0,NOT(U675&gt;0)),"",T675/U675)</f>
        <v/>
      </c>
      <c r="Y675" s="178" t="str">
        <f t="shared" si="33"/>
        <v/>
      </c>
      <c r="Z675" s="178">
        <f t="shared" si="34"/>
        <v>3.7573867906121348</v>
      </c>
      <c r="AA675" s="44"/>
      <c r="AB675" s="65"/>
    </row>
    <row r="676" spans="1:28" ht="25" hidden="1">
      <c r="A676" s="751">
        <v>50087</v>
      </c>
      <c r="B676" s="752" t="s">
        <v>56</v>
      </c>
      <c r="C676" s="751" t="s">
        <v>2960</v>
      </c>
      <c r="D676" s="752" t="s">
        <v>890</v>
      </c>
      <c r="E676" s="752" t="s">
        <v>891</v>
      </c>
      <c r="F676" s="751">
        <v>23955</v>
      </c>
      <c r="G676" s="752" t="s">
        <v>83</v>
      </c>
      <c r="H676" s="752" t="s">
        <v>1245</v>
      </c>
      <c r="I676" s="752" t="s">
        <v>60</v>
      </c>
      <c r="J676" s="751">
        <v>611</v>
      </c>
      <c r="K676" s="751">
        <v>5</v>
      </c>
      <c r="L676" s="752" t="s">
        <v>423</v>
      </c>
      <c r="M676" s="752" t="s">
        <v>52</v>
      </c>
      <c r="N676" s="752" t="s">
        <v>41</v>
      </c>
      <c r="O676" s="752" t="s">
        <v>41</v>
      </c>
      <c r="P676" s="752" t="s">
        <v>1091</v>
      </c>
      <c r="Q676" s="753">
        <v>572873</v>
      </c>
      <c r="R676" s="753">
        <v>364164</v>
      </c>
      <c r="S676" s="753">
        <v>458299</v>
      </c>
      <c r="T676" s="753">
        <v>291330</v>
      </c>
      <c r="U676" s="753">
        <v>46961.180999999997</v>
      </c>
      <c r="V676" s="751">
        <v>2019</v>
      </c>
      <c r="W676" s="222"/>
      <c r="X676" s="186"/>
      <c r="Y676" s="178">
        <f t="shared" si="33"/>
        <v>3.7535011343485198</v>
      </c>
      <c r="Z676" s="178" t="str">
        <f t="shared" si="34"/>
        <v/>
      </c>
      <c r="AA676" s="44"/>
      <c r="AB676" s="65"/>
    </row>
    <row r="677" spans="1:28" ht="25" hidden="1">
      <c r="A677" s="751">
        <v>50087</v>
      </c>
      <c r="B677" s="752" t="s">
        <v>56</v>
      </c>
      <c r="C677" s="751" t="s">
        <v>2960</v>
      </c>
      <c r="D677" s="752" t="s">
        <v>890</v>
      </c>
      <c r="E677" s="752" t="s">
        <v>891</v>
      </c>
      <c r="F677" s="751">
        <v>23955</v>
      </c>
      <c r="G677" s="752" t="s">
        <v>83</v>
      </c>
      <c r="H677" s="752" t="s">
        <v>1245</v>
      </c>
      <c r="I677" s="752" t="s">
        <v>60</v>
      </c>
      <c r="J677" s="751">
        <v>611</v>
      </c>
      <c r="K677" s="751">
        <v>5</v>
      </c>
      <c r="L677" s="752" t="s">
        <v>423</v>
      </c>
      <c r="M677" s="752" t="s">
        <v>44</v>
      </c>
      <c r="N677" s="752" t="s">
        <v>41</v>
      </c>
      <c r="O677" s="752" t="s">
        <v>41</v>
      </c>
      <c r="P677" s="752" t="s">
        <v>1091</v>
      </c>
      <c r="Q677" s="753">
        <v>986914</v>
      </c>
      <c r="R677" s="753">
        <v>326698</v>
      </c>
      <c r="S677" s="753">
        <v>789531</v>
      </c>
      <c r="T677" s="753">
        <v>261356</v>
      </c>
      <c r="U677" s="753">
        <v>18260.257000000001</v>
      </c>
      <c r="V677" s="751">
        <v>2019</v>
      </c>
      <c r="W677" s="222"/>
      <c r="X677" s="186"/>
      <c r="Y677" s="178" t="str">
        <f t="shared" si="33"/>
        <v/>
      </c>
      <c r="Z677" s="178" t="str">
        <f t="shared" si="34"/>
        <v/>
      </c>
      <c r="AA677" s="44"/>
      <c r="AB677" s="65"/>
    </row>
    <row r="678" spans="1:28" ht="25" hidden="1">
      <c r="A678" s="751">
        <v>50087</v>
      </c>
      <c r="B678" s="752" t="s">
        <v>56</v>
      </c>
      <c r="C678" s="751" t="s">
        <v>2960</v>
      </c>
      <c r="D678" s="752" t="s">
        <v>890</v>
      </c>
      <c r="E678" s="752" t="s">
        <v>891</v>
      </c>
      <c r="F678" s="751">
        <v>23955</v>
      </c>
      <c r="G678" s="752" t="s">
        <v>83</v>
      </c>
      <c r="H678" s="752" t="s">
        <v>1245</v>
      </c>
      <c r="I678" s="752" t="s">
        <v>60</v>
      </c>
      <c r="J678" s="751">
        <v>611</v>
      </c>
      <c r="K678" s="751">
        <v>5</v>
      </c>
      <c r="L678" s="752" t="s">
        <v>423</v>
      </c>
      <c r="M678" s="752" t="s">
        <v>44</v>
      </c>
      <c r="N678" s="752" t="s">
        <v>63</v>
      </c>
      <c r="O678" s="752" t="s">
        <v>63</v>
      </c>
      <c r="P678" s="752" t="s">
        <v>49</v>
      </c>
      <c r="Q678" s="753">
        <v>309</v>
      </c>
      <c r="R678" s="753">
        <v>93</v>
      </c>
      <c r="S678" s="753">
        <v>1978</v>
      </c>
      <c r="T678" s="753">
        <v>598</v>
      </c>
      <c r="U678" s="753">
        <v>48.743000000000002</v>
      </c>
      <c r="V678" s="751">
        <v>2019</v>
      </c>
      <c r="W678" s="222"/>
      <c r="X678" s="186"/>
      <c r="Y678" s="178" t="str">
        <f t="shared" si="33"/>
        <v/>
      </c>
      <c r="Z678" s="178" t="str">
        <f t="shared" si="34"/>
        <v/>
      </c>
      <c r="AA678" s="44"/>
      <c r="AB678" s="65"/>
    </row>
    <row r="679" spans="1:28" ht="12.75" hidden="1" customHeight="1">
      <c r="A679" s="751">
        <v>50093</v>
      </c>
      <c r="B679" s="752" t="s">
        <v>35</v>
      </c>
      <c r="C679" s="751" t="s">
        <v>2960</v>
      </c>
      <c r="D679" s="752" t="s">
        <v>892</v>
      </c>
      <c r="E679" s="752" t="s">
        <v>893</v>
      </c>
      <c r="F679" s="751">
        <v>34689</v>
      </c>
      <c r="G679" s="752" t="s">
        <v>59</v>
      </c>
      <c r="H679" s="752" t="s">
        <v>1244</v>
      </c>
      <c r="I679" s="752" t="s">
        <v>60</v>
      </c>
      <c r="J679" s="751">
        <v>22</v>
      </c>
      <c r="K679" s="751">
        <v>2</v>
      </c>
      <c r="L679" s="752" t="s">
        <v>54</v>
      </c>
      <c r="M679" s="752" t="s">
        <v>37</v>
      </c>
      <c r="N679" s="752" t="s">
        <v>38</v>
      </c>
      <c r="O679" s="752" t="s">
        <v>39</v>
      </c>
      <c r="P679" s="752" t="s">
        <v>1238</v>
      </c>
      <c r="Q679" s="753">
        <v>0</v>
      </c>
      <c r="R679" s="753">
        <v>0</v>
      </c>
      <c r="S679" s="753">
        <v>63654</v>
      </c>
      <c r="T679" s="753">
        <v>63654</v>
      </c>
      <c r="U679" s="753">
        <v>7149</v>
      </c>
      <c r="V679" s="751">
        <v>2019</v>
      </c>
      <c r="W679" s="222"/>
      <c r="X679" s="186"/>
      <c r="Y679" s="178" t="str">
        <f t="shared" si="33"/>
        <v/>
      </c>
      <c r="Z679" s="178" t="str">
        <f t="shared" si="34"/>
        <v/>
      </c>
      <c r="AA679" s="44"/>
      <c r="AB679" s="65"/>
    </row>
    <row r="680" spans="1:28" hidden="1">
      <c r="A680" s="751">
        <v>50103</v>
      </c>
      <c r="B680" s="752" t="s">
        <v>35</v>
      </c>
      <c r="C680" s="751" t="s">
        <v>2960</v>
      </c>
      <c r="D680" s="752" t="s">
        <v>894</v>
      </c>
      <c r="E680" s="752" t="s">
        <v>895</v>
      </c>
      <c r="F680" s="751">
        <v>13442</v>
      </c>
      <c r="G680" s="752" t="s">
        <v>98</v>
      </c>
      <c r="H680" s="752" t="s">
        <v>1245</v>
      </c>
      <c r="I680" s="752" t="s">
        <v>60</v>
      </c>
      <c r="J680" s="751">
        <v>22</v>
      </c>
      <c r="K680" s="751">
        <v>2</v>
      </c>
      <c r="L680" s="752" t="s">
        <v>54</v>
      </c>
      <c r="M680" s="752" t="s">
        <v>37</v>
      </c>
      <c r="N680" s="752" t="s">
        <v>38</v>
      </c>
      <c r="O680" s="752" t="s">
        <v>39</v>
      </c>
      <c r="P680" s="752" t="s">
        <v>1238</v>
      </c>
      <c r="Q680" s="753">
        <v>0</v>
      </c>
      <c r="R680" s="753">
        <v>0</v>
      </c>
      <c r="S680" s="753">
        <v>29330</v>
      </c>
      <c r="T680" s="753">
        <v>29330</v>
      </c>
      <c r="U680" s="753">
        <v>3294</v>
      </c>
      <c r="V680" s="751">
        <v>2019</v>
      </c>
      <c r="W680" s="222"/>
      <c r="X680" s="186"/>
      <c r="Y680" s="86" t="str">
        <f t="shared" si="33"/>
        <v/>
      </c>
      <c r="Z680" s="86" t="str">
        <f t="shared" si="34"/>
        <v/>
      </c>
      <c r="AA680" s="44"/>
      <c r="AB680" s="65"/>
    </row>
    <row r="681" spans="1:28" ht="12.75" hidden="1" customHeight="1">
      <c r="A681" s="751">
        <v>50123</v>
      </c>
      <c r="B681" s="752" t="s">
        <v>35</v>
      </c>
      <c r="C681" s="751" t="s">
        <v>2960</v>
      </c>
      <c r="D681" s="752" t="s">
        <v>896</v>
      </c>
      <c r="E681" s="752" t="s">
        <v>897</v>
      </c>
      <c r="F681" s="751">
        <v>20148</v>
      </c>
      <c r="G681" s="752" t="s">
        <v>59</v>
      </c>
      <c r="H681" s="752" t="s">
        <v>1244</v>
      </c>
      <c r="I681" s="752" t="s">
        <v>60</v>
      </c>
      <c r="J681" s="751">
        <v>22</v>
      </c>
      <c r="K681" s="751">
        <v>2</v>
      </c>
      <c r="L681" s="752" t="s">
        <v>54</v>
      </c>
      <c r="M681" s="752" t="s">
        <v>37</v>
      </c>
      <c r="N681" s="752" t="s">
        <v>38</v>
      </c>
      <c r="O681" s="752" t="s">
        <v>39</v>
      </c>
      <c r="P681" s="752" t="s">
        <v>1238</v>
      </c>
      <c r="Q681" s="753">
        <v>0</v>
      </c>
      <c r="R681" s="753">
        <v>0</v>
      </c>
      <c r="S681" s="753">
        <v>22349</v>
      </c>
      <c r="T681" s="753">
        <v>22349</v>
      </c>
      <c r="U681" s="753">
        <v>2510</v>
      </c>
      <c r="V681" s="751">
        <v>2019</v>
      </c>
      <c r="W681" s="222"/>
      <c r="X681" s="186"/>
      <c r="Y681" s="86" t="str">
        <f t="shared" si="33"/>
        <v/>
      </c>
      <c r="Z681" s="86" t="str">
        <f t="shared" si="34"/>
        <v/>
      </c>
      <c r="AA681" s="44"/>
      <c r="AB681" s="65"/>
    </row>
    <row r="682" spans="1:28" hidden="1">
      <c r="A682" s="751">
        <v>50126</v>
      </c>
      <c r="B682" s="752" t="s">
        <v>35</v>
      </c>
      <c r="C682" s="751" t="s">
        <v>2960</v>
      </c>
      <c r="D682" s="752" t="s">
        <v>898</v>
      </c>
      <c r="E682" s="752" t="s">
        <v>137</v>
      </c>
      <c r="F682" s="751">
        <v>7601</v>
      </c>
      <c r="G682" s="752" t="s">
        <v>91</v>
      </c>
      <c r="H682" s="752" t="s">
        <v>1245</v>
      </c>
      <c r="I682" s="752" t="s">
        <v>60</v>
      </c>
      <c r="J682" s="751">
        <v>22</v>
      </c>
      <c r="K682" s="751">
        <v>1</v>
      </c>
      <c r="L682" s="752" t="s">
        <v>36</v>
      </c>
      <c r="M682" s="752" t="s">
        <v>37</v>
      </c>
      <c r="N682" s="752" t="s">
        <v>38</v>
      </c>
      <c r="O682" s="752" t="s">
        <v>39</v>
      </c>
      <c r="P682" s="752" t="s">
        <v>1238</v>
      </c>
      <c r="Q682" s="753">
        <v>0</v>
      </c>
      <c r="R682" s="753">
        <v>0</v>
      </c>
      <c r="S682" s="753">
        <v>12037</v>
      </c>
      <c r="T682" s="753">
        <v>12037</v>
      </c>
      <c r="U682" s="753">
        <v>1352</v>
      </c>
      <c r="V682" s="751">
        <v>2019</v>
      </c>
      <c r="W682" s="222"/>
      <c r="X682" s="186">
        <f>IF(OR(K682&gt;3,T682=0,NOT(U682&gt;0)),"",T682/U682)</f>
        <v>8.9031065088757391</v>
      </c>
      <c r="Y682" s="86" t="str">
        <f t="shared" si="33"/>
        <v/>
      </c>
      <c r="Z682" s="86" t="str">
        <f t="shared" si="34"/>
        <v/>
      </c>
      <c r="AA682" s="44"/>
      <c r="AB682" s="65"/>
    </row>
    <row r="683" spans="1:28" ht="25" hidden="1">
      <c r="A683" s="751">
        <v>50136</v>
      </c>
      <c r="B683" s="752" t="s">
        <v>56</v>
      </c>
      <c r="C683" s="751" t="s">
        <v>2960</v>
      </c>
      <c r="D683" s="752" t="s">
        <v>899</v>
      </c>
      <c r="E683" s="752" t="s">
        <v>900</v>
      </c>
      <c r="F683" s="751">
        <v>17460</v>
      </c>
      <c r="G683" s="752" t="s">
        <v>59</v>
      </c>
      <c r="H683" s="752" t="s">
        <v>1244</v>
      </c>
      <c r="I683" s="752" t="s">
        <v>60</v>
      </c>
      <c r="J683" s="751">
        <v>622</v>
      </c>
      <c r="K683" s="751">
        <v>5</v>
      </c>
      <c r="L683" s="752" t="s">
        <v>423</v>
      </c>
      <c r="M683" s="752" t="s">
        <v>53</v>
      </c>
      <c r="N683" s="752" t="s">
        <v>41</v>
      </c>
      <c r="O683" s="752" t="s">
        <v>41</v>
      </c>
      <c r="P683" s="752" t="s">
        <v>1091</v>
      </c>
      <c r="Q683" s="753">
        <v>76170</v>
      </c>
      <c r="R683" s="753">
        <v>22592</v>
      </c>
      <c r="S683" s="753">
        <v>83788</v>
      </c>
      <c r="T683" s="753">
        <v>24851</v>
      </c>
      <c r="U683" s="753">
        <v>5948</v>
      </c>
      <c r="V683" s="751">
        <v>2019</v>
      </c>
      <c r="W683" s="222"/>
      <c r="X683" s="186"/>
      <c r="Y683" s="86" t="str">
        <f t="shared" si="33"/>
        <v/>
      </c>
      <c r="Z683" s="86" t="str">
        <f t="shared" si="34"/>
        <v/>
      </c>
      <c r="AA683" s="44"/>
      <c r="AB683" s="65"/>
    </row>
    <row r="684" spans="1:28" ht="25" hidden="1">
      <c r="A684" s="751">
        <v>50166</v>
      </c>
      <c r="B684" s="752" t="s">
        <v>35</v>
      </c>
      <c r="C684" s="751" t="s">
        <v>2960</v>
      </c>
      <c r="D684" s="752" t="s">
        <v>2971</v>
      </c>
      <c r="E684" s="752" t="s">
        <v>861</v>
      </c>
      <c r="F684" s="751">
        <v>49911</v>
      </c>
      <c r="G684" s="752" t="s">
        <v>83</v>
      </c>
      <c r="H684" s="752" t="s">
        <v>1245</v>
      </c>
      <c r="I684" s="752" t="s">
        <v>60</v>
      </c>
      <c r="J684" s="751">
        <v>22</v>
      </c>
      <c r="K684" s="751">
        <v>2</v>
      </c>
      <c r="L684" s="752" t="s">
        <v>54</v>
      </c>
      <c r="M684" s="752" t="s">
        <v>37</v>
      </c>
      <c r="N684" s="752" t="s">
        <v>38</v>
      </c>
      <c r="O684" s="752" t="s">
        <v>39</v>
      </c>
      <c r="P684" s="752" t="s">
        <v>1238</v>
      </c>
      <c r="Q684" s="753">
        <v>0</v>
      </c>
      <c r="R684" s="753">
        <v>0</v>
      </c>
      <c r="S684" s="753">
        <v>59826</v>
      </c>
      <c r="T684" s="753">
        <v>59826</v>
      </c>
      <c r="U684" s="753">
        <v>6719</v>
      </c>
      <c r="V684" s="751">
        <v>2019</v>
      </c>
      <c r="W684" s="222"/>
      <c r="X684" s="186"/>
      <c r="Y684" s="86" t="str">
        <f t="shared" si="33"/>
        <v/>
      </c>
      <c r="Z684" s="86" t="str">
        <f t="shared" si="34"/>
        <v/>
      </c>
      <c r="AA684" s="44"/>
      <c r="AB684" s="65"/>
    </row>
    <row r="685" spans="1:28" hidden="1">
      <c r="A685" s="751">
        <v>50176</v>
      </c>
      <c r="B685" s="752" t="s">
        <v>35</v>
      </c>
      <c r="C685" s="751" t="s">
        <v>2960</v>
      </c>
      <c r="D685" s="752" t="s">
        <v>901</v>
      </c>
      <c r="E685" s="752" t="s">
        <v>1110</v>
      </c>
      <c r="F685" s="751">
        <v>56842</v>
      </c>
      <c r="G685" s="752" t="s">
        <v>59</v>
      </c>
      <c r="H685" s="752" t="s">
        <v>1244</v>
      </c>
      <c r="I685" s="752" t="s">
        <v>60</v>
      </c>
      <c r="J685" s="751">
        <v>22</v>
      </c>
      <c r="K685" s="751">
        <v>2</v>
      </c>
      <c r="L685" s="752" t="s">
        <v>54</v>
      </c>
      <c r="M685" s="752" t="s">
        <v>37</v>
      </c>
      <c r="N685" s="752" t="s">
        <v>38</v>
      </c>
      <c r="O685" s="752" t="s">
        <v>39</v>
      </c>
      <c r="P685" s="752" t="s">
        <v>1238</v>
      </c>
      <c r="Q685" s="753">
        <v>0</v>
      </c>
      <c r="R685" s="753">
        <v>0</v>
      </c>
      <c r="S685" s="753">
        <v>86869</v>
      </c>
      <c r="T685" s="753">
        <v>86869</v>
      </c>
      <c r="U685" s="753">
        <v>9756</v>
      </c>
      <c r="V685" s="751">
        <v>2019</v>
      </c>
      <c r="W685" s="222"/>
      <c r="X685" s="186"/>
      <c r="Y685" s="86" t="str">
        <f t="shared" si="33"/>
        <v/>
      </c>
      <c r="Z685" s="86" t="str">
        <f t="shared" si="34"/>
        <v/>
      </c>
      <c r="AA685" s="44"/>
      <c r="AB685" s="65"/>
    </row>
    <row r="686" spans="1:28" hidden="1">
      <c r="A686" s="751">
        <v>50177</v>
      </c>
      <c r="B686" s="752" t="s">
        <v>35</v>
      </c>
      <c r="C686" s="751" t="s">
        <v>2960</v>
      </c>
      <c r="D686" s="752" t="s">
        <v>1111</v>
      </c>
      <c r="E686" s="752" t="s">
        <v>1112</v>
      </c>
      <c r="F686" s="751">
        <v>56844</v>
      </c>
      <c r="G686" s="752" t="s">
        <v>136</v>
      </c>
      <c r="H686" s="752" t="s">
        <v>1245</v>
      </c>
      <c r="I686" s="752" t="s">
        <v>60</v>
      </c>
      <c r="J686" s="751">
        <v>22</v>
      </c>
      <c r="K686" s="751">
        <v>2</v>
      </c>
      <c r="L686" s="752" t="s">
        <v>54</v>
      </c>
      <c r="M686" s="752" t="s">
        <v>37</v>
      </c>
      <c r="N686" s="752" t="s">
        <v>38</v>
      </c>
      <c r="O686" s="752" t="s">
        <v>39</v>
      </c>
      <c r="P686" s="752" t="s">
        <v>1238</v>
      </c>
      <c r="Q686" s="753">
        <v>0</v>
      </c>
      <c r="R686" s="753">
        <v>0</v>
      </c>
      <c r="S686" s="753">
        <v>32410</v>
      </c>
      <c r="T686" s="753">
        <v>32410</v>
      </c>
      <c r="U686" s="753">
        <v>3640</v>
      </c>
      <c r="V686" s="751">
        <v>2019</v>
      </c>
      <c r="W686" s="222"/>
      <c r="X686" s="186"/>
      <c r="Y686" s="86" t="str">
        <f t="shared" si="33"/>
        <v/>
      </c>
      <c r="Z686" s="86" t="str">
        <f t="shared" si="34"/>
        <v/>
      </c>
      <c r="AA686" s="44"/>
      <c r="AB686" s="65"/>
    </row>
    <row r="687" spans="1:28" hidden="1">
      <c r="A687" s="751">
        <v>50203</v>
      </c>
      <c r="B687" s="752" t="s">
        <v>56</v>
      </c>
      <c r="C687" s="751" t="s">
        <v>2960</v>
      </c>
      <c r="D687" s="752" t="s">
        <v>902</v>
      </c>
      <c r="E687" s="752" t="s">
        <v>903</v>
      </c>
      <c r="F687" s="751">
        <v>19351</v>
      </c>
      <c r="G687" s="752" t="s">
        <v>59</v>
      </c>
      <c r="H687" s="752" t="s">
        <v>1244</v>
      </c>
      <c r="I687" s="752" t="s">
        <v>60</v>
      </c>
      <c r="J687" s="751">
        <v>322</v>
      </c>
      <c r="K687" s="751">
        <v>7</v>
      </c>
      <c r="L687" s="752" t="s">
        <v>419</v>
      </c>
      <c r="M687" s="752" t="s">
        <v>52</v>
      </c>
      <c r="N687" s="752" t="s">
        <v>41</v>
      </c>
      <c r="O687" s="752" t="s">
        <v>41</v>
      </c>
      <c r="P687" s="752" t="s">
        <v>1091</v>
      </c>
      <c r="Q687" s="753">
        <v>241358</v>
      </c>
      <c r="R687" s="753">
        <v>85206</v>
      </c>
      <c r="S687" s="753">
        <v>259458</v>
      </c>
      <c r="T687" s="753">
        <v>91597</v>
      </c>
      <c r="U687" s="753">
        <v>16837.38</v>
      </c>
      <c r="V687" s="751">
        <v>2019</v>
      </c>
      <c r="W687" s="222"/>
      <c r="X687" s="186"/>
      <c r="Y687" s="86">
        <f t="shared" si="33"/>
        <v>7.1340935730169681</v>
      </c>
      <c r="Z687" s="86" t="str">
        <f t="shared" si="34"/>
        <v/>
      </c>
      <c r="AA687" s="44"/>
      <c r="AB687" s="65"/>
    </row>
    <row r="688" spans="1:28" ht="25" hidden="1">
      <c r="A688" s="751">
        <v>50208</v>
      </c>
      <c r="B688" s="752" t="s">
        <v>35</v>
      </c>
      <c r="C688" s="751" t="s">
        <v>2960</v>
      </c>
      <c r="D688" s="752" t="s">
        <v>904</v>
      </c>
      <c r="E688" s="752" t="s">
        <v>905</v>
      </c>
      <c r="F688" s="751">
        <v>15064</v>
      </c>
      <c r="G688" s="752" t="s">
        <v>98</v>
      </c>
      <c r="H688" s="752" t="s">
        <v>1245</v>
      </c>
      <c r="I688" s="752" t="s">
        <v>60</v>
      </c>
      <c r="J688" s="751">
        <v>22</v>
      </c>
      <c r="K688" s="751">
        <v>2</v>
      </c>
      <c r="L688" s="752" t="s">
        <v>54</v>
      </c>
      <c r="M688" s="752" t="s">
        <v>44</v>
      </c>
      <c r="N688" s="752" t="s">
        <v>71</v>
      </c>
      <c r="O688" s="752" t="s">
        <v>72</v>
      </c>
      <c r="P688" s="752" t="s">
        <v>47</v>
      </c>
      <c r="Q688" s="753">
        <v>153358</v>
      </c>
      <c r="R688" s="753">
        <v>153358</v>
      </c>
      <c r="S688" s="753">
        <v>1303546</v>
      </c>
      <c r="T688" s="753">
        <v>1303546</v>
      </c>
      <c r="U688" s="753">
        <v>80337</v>
      </c>
      <c r="V688" s="751">
        <v>2019</v>
      </c>
      <c r="W688" s="222"/>
      <c r="X688" s="186">
        <f>IF(OR(K688&gt;3,T688=0,NOT(U688&gt;0)),"",T688/U688)</f>
        <v>16.225973088365262</v>
      </c>
      <c r="Y688" s="86" t="str">
        <f t="shared" si="33"/>
        <v/>
      </c>
      <c r="Z688" s="86" t="str">
        <f t="shared" si="34"/>
        <v/>
      </c>
      <c r="AA688" s="44"/>
      <c r="AB688" s="65"/>
    </row>
    <row r="689" spans="1:28" ht="25" hidden="1">
      <c r="A689" s="751">
        <v>50225</v>
      </c>
      <c r="B689" s="752" t="s">
        <v>35</v>
      </c>
      <c r="C689" s="751" t="s">
        <v>2960</v>
      </c>
      <c r="D689" s="752" t="s">
        <v>906</v>
      </c>
      <c r="E689" s="752" t="s">
        <v>907</v>
      </c>
      <c r="F689" s="751">
        <v>15824</v>
      </c>
      <c r="G689" s="752" t="s">
        <v>92</v>
      </c>
      <c r="H689" s="752" t="s">
        <v>1245</v>
      </c>
      <c r="I689" s="752" t="s">
        <v>60</v>
      </c>
      <c r="J689" s="751">
        <v>22</v>
      </c>
      <c r="K689" s="751">
        <v>2</v>
      </c>
      <c r="L689" s="752" t="s">
        <v>54</v>
      </c>
      <c r="M689" s="752" t="s">
        <v>44</v>
      </c>
      <c r="N689" s="752" t="s">
        <v>18</v>
      </c>
      <c r="O689" s="752" t="s">
        <v>66</v>
      </c>
      <c r="P689" s="752" t="s">
        <v>47</v>
      </c>
      <c r="Q689" s="753">
        <v>107989</v>
      </c>
      <c r="R689" s="753">
        <v>107989</v>
      </c>
      <c r="S689" s="753">
        <v>796669</v>
      </c>
      <c r="T689" s="753">
        <v>796669</v>
      </c>
      <c r="U689" s="753">
        <v>35455.093000000001</v>
      </c>
      <c r="V689" s="751">
        <v>2019</v>
      </c>
      <c r="W689" s="222"/>
      <c r="X689" s="186"/>
      <c r="Y689" s="86" t="str">
        <f t="shared" si="33"/>
        <v/>
      </c>
      <c r="Z689" s="86" t="str">
        <f t="shared" si="34"/>
        <v/>
      </c>
      <c r="AA689" s="44"/>
      <c r="AB689" s="65"/>
    </row>
    <row r="690" spans="1:28" ht="25" hidden="1">
      <c r="A690" s="751">
        <v>50225</v>
      </c>
      <c r="B690" s="752" t="s">
        <v>35</v>
      </c>
      <c r="C690" s="751" t="s">
        <v>2960</v>
      </c>
      <c r="D690" s="752" t="s">
        <v>906</v>
      </c>
      <c r="E690" s="752" t="s">
        <v>907</v>
      </c>
      <c r="F690" s="751">
        <v>15824</v>
      </c>
      <c r="G690" s="752" t="s">
        <v>92</v>
      </c>
      <c r="H690" s="752" t="s">
        <v>1245</v>
      </c>
      <c r="I690" s="752" t="s">
        <v>60</v>
      </c>
      <c r="J690" s="751">
        <v>22</v>
      </c>
      <c r="K690" s="751">
        <v>2</v>
      </c>
      <c r="L690" s="752" t="s">
        <v>54</v>
      </c>
      <c r="M690" s="752" t="s">
        <v>44</v>
      </c>
      <c r="N690" s="752" t="s">
        <v>19</v>
      </c>
      <c r="O690" s="752" t="s">
        <v>84</v>
      </c>
      <c r="P690" s="752" t="s">
        <v>47</v>
      </c>
      <c r="Q690" s="753">
        <v>69045</v>
      </c>
      <c r="R690" s="753">
        <v>69045</v>
      </c>
      <c r="S690" s="753">
        <v>973695</v>
      </c>
      <c r="T690" s="753">
        <v>973695</v>
      </c>
      <c r="U690" s="753">
        <v>43333.298999999999</v>
      </c>
      <c r="V690" s="751">
        <v>2019</v>
      </c>
      <c r="W690" s="222"/>
      <c r="X690" s="186"/>
      <c r="Y690" s="178" t="str">
        <f t="shared" si="33"/>
        <v/>
      </c>
      <c r="Z690" s="178" t="str">
        <f t="shared" si="34"/>
        <v/>
      </c>
      <c r="AA690" s="44"/>
      <c r="AB690" s="65"/>
    </row>
    <row r="691" spans="1:28" hidden="1">
      <c r="A691" s="751">
        <v>50225</v>
      </c>
      <c r="B691" s="752" t="s">
        <v>35</v>
      </c>
      <c r="C691" s="751" t="s">
        <v>2960</v>
      </c>
      <c r="D691" s="752" t="s">
        <v>906</v>
      </c>
      <c r="E691" s="752" t="s">
        <v>907</v>
      </c>
      <c r="F691" s="751">
        <v>15824</v>
      </c>
      <c r="G691" s="752" t="s">
        <v>92</v>
      </c>
      <c r="H691" s="752" t="s">
        <v>1245</v>
      </c>
      <c r="I691" s="752" t="s">
        <v>60</v>
      </c>
      <c r="J691" s="751">
        <v>22</v>
      </c>
      <c r="K691" s="751">
        <v>2</v>
      </c>
      <c r="L691" s="752" t="s">
        <v>54</v>
      </c>
      <c r="M691" s="752" t="s">
        <v>44</v>
      </c>
      <c r="N691" s="752" t="s">
        <v>41</v>
      </c>
      <c r="O691" s="752" t="s">
        <v>41</v>
      </c>
      <c r="P691" s="752" t="s">
        <v>1091</v>
      </c>
      <c r="Q691" s="753">
        <v>15272</v>
      </c>
      <c r="R691" s="753">
        <v>15272</v>
      </c>
      <c r="S691" s="753">
        <v>15272</v>
      </c>
      <c r="T691" s="753">
        <v>15272</v>
      </c>
      <c r="U691" s="753">
        <v>626.60799999999995</v>
      </c>
      <c r="V691" s="751">
        <v>2019</v>
      </c>
      <c r="W691" s="222"/>
      <c r="X691" s="186">
        <f t="shared" ref="X691:X699" si="35">IF(OR(K691&gt;3,T691=0,NOT(U691&gt;0)),"",T691/U691)</f>
        <v>24.372494446288592</v>
      </c>
      <c r="Y691" s="86" t="str">
        <f t="shared" si="33"/>
        <v/>
      </c>
      <c r="Z691" s="86" t="str">
        <f t="shared" si="34"/>
        <v/>
      </c>
      <c r="AA691" s="44"/>
      <c r="AB691" s="65"/>
    </row>
    <row r="692" spans="1:28" hidden="1">
      <c r="A692" s="751">
        <v>50230</v>
      </c>
      <c r="B692" s="752" t="s">
        <v>56</v>
      </c>
      <c r="C692" s="751" t="s">
        <v>2960</v>
      </c>
      <c r="D692" s="752" t="s">
        <v>908</v>
      </c>
      <c r="E692" s="752" t="s">
        <v>909</v>
      </c>
      <c r="F692" s="751">
        <v>16191</v>
      </c>
      <c r="G692" s="752" t="s">
        <v>92</v>
      </c>
      <c r="H692" s="752" t="s">
        <v>1245</v>
      </c>
      <c r="I692" s="752" t="s">
        <v>60</v>
      </c>
      <c r="J692" s="751">
        <v>321</v>
      </c>
      <c r="K692" s="751">
        <v>7</v>
      </c>
      <c r="L692" s="752" t="s">
        <v>419</v>
      </c>
      <c r="M692" s="752" t="s">
        <v>53</v>
      </c>
      <c r="N692" s="752" t="s">
        <v>48</v>
      </c>
      <c r="O692" s="752" t="s">
        <v>48</v>
      </c>
      <c r="P692" s="752" t="s">
        <v>49</v>
      </c>
      <c r="Q692" s="753">
        <v>23</v>
      </c>
      <c r="R692" s="753">
        <v>23</v>
      </c>
      <c r="S692" s="753">
        <v>138</v>
      </c>
      <c r="T692" s="753">
        <v>138</v>
      </c>
      <c r="U692" s="753">
        <v>32</v>
      </c>
      <c r="V692" s="751">
        <v>2019</v>
      </c>
      <c r="W692" s="222"/>
      <c r="X692" s="186" t="str">
        <f t="shared" si="35"/>
        <v/>
      </c>
      <c r="Y692" s="86" t="str">
        <f t="shared" si="33"/>
        <v/>
      </c>
      <c r="Z692" s="86" t="str">
        <f t="shared" si="34"/>
        <v/>
      </c>
      <c r="AA692" s="44"/>
      <c r="AB692" s="65"/>
    </row>
    <row r="693" spans="1:28" ht="25" hidden="1">
      <c r="A693" s="751">
        <v>50230</v>
      </c>
      <c r="B693" s="752" t="s">
        <v>56</v>
      </c>
      <c r="C693" s="751" t="s">
        <v>2960</v>
      </c>
      <c r="D693" s="752" t="s">
        <v>908</v>
      </c>
      <c r="E693" s="752" t="s">
        <v>909</v>
      </c>
      <c r="F693" s="751">
        <v>16191</v>
      </c>
      <c r="G693" s="752" t="s">
        <v>92</v>
      </c>
      <c r="H693" s="752" t="s">
        <v>1245</v>
      </c>
      <c r="I693" s="752" t="s">
        <v>60</v>
      </c>
      <c r="J693" s="751">
        <v>321</v>
      </c>
      <c r="K693" s="751">
        <v>7</v>
      </c>
      <c r="L693" s="752" t="s">
        <v>419</v>
      </c>
      <c r="M693" s="752" t="s">
        <v>44</v>
      </c>
      <c r="N693" s="752" t="s">
        <v>431</v>
      </c>
      <c r="O693" s="752" t="s">
        <v>51</v>
      </c>
      <c r="P693" s="752" t="s">
        <v>47</v>
      </c>
      <c r="Q693" s="753">
        <v>0</v>
      </c>
      <c r="R693" s="753">
        <v>0</v>
      </c>
      <c r="S693" s="753">
        <v>0</v>
      </c>
      <c r="T693" s="753">
        <v>0</v>
      </c>
      <c r="U693" s="753">
        <v>0</v>
      </c>
      <c r="V693" s="751">
        <v>2019</v>
      </c>
      <c r="W693" s="222"/>
      <c r="X693" s="186" t="str">
        <f t="shared" si="35"/>
        <v/>
      </c>
      <c r="Y693" s="86" t="str">
        <f t="shared" si="33"/>
        <v/>
      </c>
      <c r="Z693" s="86" t="str">
        <f t="shared" si="34"/>
        <v/>
      </c>
      <c r="AA693" s="44"/>
      <c r="AB693" s="65"/>
    </row>
    <row r="694" spans="1:28" ht="25" hidden="1">
      <c r="A694" s="751">
        <v>50230</v>
      </c>
      <c r="B694" s="752" t="s">
        <v>56</v>
      </c>
      <c r="C694" s="751" t="s">
        <v>2960</v>
      </c>
      <c r="D694" s="752" t="s">
        <v>908</v>
      </c>
      <c r="E694" s="752" t="s">
        <v>909</v>
      </c>
      <c r="F694" s="751">
        <v>16191</v>
      </c>
      <c r="G694" s="752" t="s">
        <v>92</v>
      </c>
      <c r="H694" s="752" t="s">
        <v>1245</v>
      </c>
      <c r="I694" s="752" t="s">
        <v>60</v>
      </c>
      <c r="J694" s="751">
        <v>321</v>
      </c>
      <c r="K694" s="751">
        <v>7</v>
      </c>
      <c r="L694" s="752" t="s">
        <v>419</v>
      </c>
      <c r="M694" s="752" t="s">
        <v>44</v>
      </c>
      <c r="N694" s="752" t="s">
        <v>71</v>
      </c>
      <c r="O694" s="752" t="s">
        <v>72</v>
      </c>
      <c r="P694" s="752" t="s">
        <v>47</v>
      </c>
      <c r="Q694" s="753">
        <v>0</v>
      </c>
      <c r="R694" s="753">
        <v>0</v>
      </c>
      <c r="S694" s="753">
        <v>0</v>
      </c>
      <c r="T694" s="753">
        <v>0</v>
      </c>
      <c r="U694" s="753">
        <v>0</v>
      </c>
      <c r="V694" s="751">
        <v>2019</v>
      </c>
      <c r="W694" s="222"/>
      <c r="X694" s="186" t="str">
        <f t="shared" si="35"/>
        <v/>
      </c>
      <c r="Y694" s="86" t="str">
        <f t="shared" si="33"/>
        <v/>
      </c>
      <c r="Z694" s="86" t="str">
        <f t="shared" si="34"/>
        <v/>
      </c>
      <c r="AA694" s="44"/>
      <c r="AB694" s="65"/>
    </row>
    <row r="695" spans="1:28" ht="25" hidden="1">
      <c r="A695" s="751">
        <v>50243</v>
      </c>
      <c r="B695" s="752" t="s">
        <v>35</v>
      </c>
      <c r="C695" s="751" t="s">
        <v>2960</v>
      </c>
      <c r="D695" s="752" t="s">
        <v>1770</v>
      </c>
      <c r="E695" s="752" t="s">
        <v>1770</v>
      </c>
      <c r="F695" s="751">
        <v>9303</v>
      </c>
      <c r="G695" s="752" t="s">
        <v>92</v>
      </c>
      <c r="H695" s="752" t="s">
        <v>1245</v>
      </c>
      <c r="I695" s="752" t="s">
        <v>60</v>
      </c>
      <c r="J695" s="751">
        <v>22</v>
      </c>
      <c r="K695" s="751">
        <v>2</v>
      </c>
      <c r="L695" s="752" t="s">
        <v>54</v>
      </c>
      <c r="M695" s="752" t="s">
        <v>52</v>
      </c>
      <c r="N695" s="752" t="s">
        <v>45</v>
      </c>
      <c r="O695" s="752" t="s">
        <v>46</v>
      </c>
      <c r="P695" s="752" t="s">
        <v>47</v>
      </c>
      <c r="Q695" s="753">
        <v>0</v>
      </c>
      <c r="R695" s="753">
        <v>0</v>
      </c>
      <c r="S695" s="753">
        <v>0</v>
      </c>
      <c r="T695" s="753">
        <v>0</v>
      </c>
      <c r="U695" s="753">
        <v>0</v>
      </c>
      <c r="V695" s="751">
        <v>2019</v>
      </c>
      <c r="W695" s="222"/>
      <c r="X695" s="186" t="str">
        <f t="shared" si="35"/>
        <v/>
      </c>
      <c r="Y695" s="86" t="str">
        <f t="shared" si="33"/>
        <v/>
      </c>
      <c r="Z695" s="86" t="str">
        <f t="shared" si="34"/>
        <v/>
      </c>
      <c r="AA695" s="44"/>
      <c r="AB695" s="65"/>
    </row>
    <row r="696" spans="1:28" hidden="1">
      <c r="A696" s="751">
        <v>50243</v>
      </c>
      <c r="B696" s="752" t="s">
        <v>35</v>
      </c>
      <c r="C696" s="751" t="s">
        <v>2960</v>
      </c>
      <c r="D696" s="752" t="s">
        <v>1770</v>
      </c>
      <c r="E696" s="752" t="s">
        <v>1770</v>
      </c>
      <c r="F696" s="751">
        <v>9303</v>
      </c>
      <c r="G696" s="752" t="s">
        <v>92</v>
      </c>
      <c r="H696" s="752" t="s">
        <v>1245</v>
      </c>
      <c r="I696" s="752" t="s">
        <v>60</v>
      </c>
      <c r="J696" s="751">
        <v>22</v>
      </c>
      <c r="K696" s="751">
        <v>2</v>
      </c>
      <c r="L696" s="752" t="s">
        <v>54</v>
      </c>
      <c r="M696" s="752" t="s">
        <v>52</v>
      </c>
      <c r="N696" s="752" t="s">
        <v>48</v>
      </c>
      <c r="O696" s="752" t="s">
        <v>48</v>
      </c>
      <c r="P696" s="752" t="s">
        <v>49</v>
      </c>
      <c r="Q696" s="753">
        <v>616</v>
      </c>
      <c r="R696" s="753">
        <v>616</v>
      </c>
      <c r="S696" s="753">
        <v>3622</v>
      </c>
      <c r="T696" s="753">
        <v>3622</v>
      </c>
      <c r="U696" s="753">
        <v>307.35300000000001</v>
      </c>
      <c r="V696" s="751">
        <v>2019</v>
      </c>
      <c r="W696" s="222"/>
      <c r="X696" s="186">
        <f t="shared" si="35"/>
        <v>11.784495352249692</v>
      </c>
      <c r="Y696" s="86" t="str">
        <f t="shared" si="33"/>
        <v/>
      </c>
      <c r="Z696" s="86" t="str">
        <f t="shared" si="34"/>
        <v/>
      </c>
      <c r="AA696" s="44"/>
      <c r="AB696" s="65"/>
    </row>
    <row r="697" spans="1:28" hidden="1">
      <c r="A697" s="751">
        <v>50243</v>
      </c>
      <c r="B697" s="752" t="s">
        <v>35</v>
      </c>
      <c r="C697" s="751" t="s">
        <v>2960</v>
      </c>
      <c r="D697" s="752" t="s">
        <v>1770</v>
      </c>
      <c r="E697" s="752" t="s">
        <v>1770</v>
      </c>
      <c r="F697" s="751">
        <v>9303</v>
      </c>
      <c r="G697" s="752" t="s">
        <v>92</v>
      </c>
      <c r="H697" s="752" t="s">
        <v>1245</v>
      </c>
      <c r="I697" s="752" t="s">
        <v>60</v>
      </c>
      <c r="J697" s="751">
        <v>22</v>
      </c>
      <c r="K697" s="751">
        <v>2</v>
      </c>
      <c r="L697" s="752" t="s">
        <v>54</v>
      </c>
      <c r="M697" s="752" t="s">
        <v>52</v>
      </c>
      <c r="N697" s="752" t="s">
        <v>41</v>
      </c>
      <c r="O697" s="752" t="s">
        <v>41</v>
      </c>
      <c r="P697" s="752" t="s">
        <v>1091</v>
      </c>
      <c r="Q697" s="753">
        <v>12906</v>
      </c>
      <c r="R697" s="753">
        <v>12906</v>
      </c>
      <c r="S697" s="753">
        <v>13410</v>
      </c>
      <c r="T697" s="753">
        <v>13410</v>
      </c>
      <c r="U697" s="753">
        <v>1054.6469999999999</v>
      </c>
      <c r="V697" s="751">
        <v>2019</v>
      </c>
      <c r="W697" s="222"/>
      <c r="X697" s="186">
        <f t="shared" si="35"/>
        <v>12.715154928615926</v>
      </c>
      <c r="Y697" s="86" t="str">
        <f t="shared" si="33"/>
        <v/>
      </c>
      <c r="Z697" s="86" t="str">
        <f t="shared" si="34"/>
        <v/>
      </c>
      <c r="AA697" s="44"/>
      <c r="AB697" s="65"/>
    </row>
    <row r="698" spans="1:28" hidden="1">
      <c r="A698" s="751">
        <v>50243</v>
      </c>
      <c r="B698" s="752" t="s">
        <v>35</v>
      </c>
      <c r="C698" s="751" t="s">
        <v>2960</v>
      </c>
      <c r="D698" s="752" t="s">
        <v>1770</v>
      </c>
      <c r="E698" s="752" t="s">
        <v>1770</v>
      </c>
      <c r="F698" s="751">
        <v>9303</v>
      </c>
      <c r="G698" s="752" t="s">
        <v>92</v>
      </c>
      <c r="H698" s="752" t="s">
        <v>1245</v>
      </c>
      <c r="I698" s="752" t="s">
        <v>60</v>
      </c>
      <c r="J698" s="751">
        <v>22</v>
      </c>
      <c r="K698" s="751">
        <v>2</v>
      </c>
      <c r="L698" s="752" t="s">
        <v>54</v>
      </c>
      <c r="M698" s="752" t="s">
        <v>44</v>
      </c>
      <c r="N698" s="752" t="s">
        <v>41</v>
      </c>
      <c r="O698" s="752" t="s">
        <v>41</v>
      </c>
      <c r="P698" s="752" t="s">
        <v>1091</v>
      </c>
      <c r="Q698" s="753">
        <v>0</v>
      </c>
      <c r="R698" s="753">
        <v>0</v>
      </c>
      <c r="S698" s="753">
        <v>0</v>
      </c>
      <c r="T698" s="753">
        <v>0</v>
      </c>
      <c r="U698" s="753">
        <v>0</v>
      </c>
      <c r="V698" s="751">
        <v>2019</v>
      </c>
      <c r="W698" s="222"/>
      <c r="X698" s="186" t="str">
        <f t="shared" si="35"/>
        <v/>
      </c>
      <c r="Y698" s="86" t="str">
        <f t="shared" si="33"/>
        <v/>
      </c>
      <c r="Z698" s="86" t="str">
        <f t="shared" si="34"/>
        <v/>
      </c>
      <c r="AA698" s="44"/>
      <c r="AB698" s="65"/>
    </row>
    <row r="699" spans="1:28" hidden="1">
      <c r="A699" s="751">
        <v>50243</v>
      </c>
      <c r="B699" s="752" t="s">
        <v>35</v>
      </c>
      <c r="C699" s="751" t="s">
        <v>2960</v>
      </c>
      <c r="D699" s="752" t="s">
        <v>1770</v>
      </c>
      <c r="E699" s="752" t="s">
        <v>1770</v>
      </c>
      <c r="F699" s="751">
        <v>9303</v>
      </c>
      <c r="G699" s="752" t="s">
        <v>92</v>
      </c>
      <c r="H699" s="752" t="s">
        <v>1245</v>
      </c>
      <c r="I699" s="752" t="s">
        <v>60</v>
      </c>
      <c r="J699" s="751">
        <v>22</v>
      </c>
      <c r="K699" s="751">
        <v>2</v>
      </c>
      <c r="L699" s="752" t="s">
        <v>54</v>
      </c>
      <c r="M699" s="752" t="s">
        <v>44</v>
      </c>
      <c r="N699" s="752" t="s">
        <v>63</v>
      </c>
      <c r="O699" s="752" t="s">
        <v>63</v>
      </c>
      <c r="P699" s="752" t="s">
        <v>49</v>
      </c>
      <c r="Q699" s="753">
        <v>0</v>
      </c>
      <c r="R699" s="753">
        <v>0</v>
      </c>
      <c r="S699" s="753">
        <v>0</v>
      </c>
      <c r="T699" s="753">
        <v>0</v>
      </c>
      <c r="U699" s="753">
        <v>0</v>
      </c>
      <c r="V699" s="751">
        <v>2019</v>
      </c>
      <c r="W699" s="222"/>
      <c r="X699" s="186" t="str">
        <f t="shared" si="35"/>
        <v/>
      </c>
      <c r="Y699" s="178" t="str">
        <f t="shared" si="33"/>
        <v/>
      </c>
      <c r="Z699" s="178" t="str">
        <f t="shared" si="34"/>
        <v/>
      </c>
      <c r="AA699" s="44"/>
      <c r="AB699" s="65"/>
    </row>
    <row r="700" spans="1:28" ht="25" hidden="1">
      <c r="A700" s="751">
        <v>50243</v>
      </c>
      <c r="B700" s="752" t="s">
        <v>35</v>
      </c>
      <c r="C700" s="751" t="s">
        <v>2960</v>
      </c>
      <c r="D700" s="752" t="s">
        <v>1770</v>
      </c>
      <c r="E700" s="752" t="s">
        <v>1770</v>
      </c>
      <c r="F700" s="751">
        <v>9303</v>
      </c>
      <c r="G700" s="752" t="s">
        <v>92</v>
      </c>
      <c r="H700" s="752" t="s">
        <v>1245</v>
      </c>
      <c r="I700" s="752" t="s">
        <v>60</v>
      </c>
      <c r="J700" s="751">
        <v>22</v>
      </c>
      <c r="K700" s="751">
        <v>2</v>
      </c>
      <c r="L700" s="752" t="s">
        <v>54</v>
      </c>
      <c r="M700" s="752" t="s">
        <v>44</v>
      </c>
      <c r="N700" s="752" t="s">
        <v>160</v>
      </c>
      <c r="O700" s="752" t="s">
        <v>51</v>
      </c>
      <c r="P700" s="752" t="s">
        <v>47</v>
      </c>
      <c r="Q700" s="753">
        <v>0</v>
      </c>
      <c r="R700" s="753">
        <v>0</v>
      </c>
      <c r="S700" s="753">
        <v>0</v>
      </c>
      <c r="T700" s="753">
        <v>0</v>
      </c>
      <c r="U700" s="753">
        <v>0</v>
      </c>
      <c r="V700" s="751">
        <v>2019</v>
      </c>
      <c r="W700" s="222"/>
      <c r="X700" s="186"/>
      <c r="Y700" s="178" t="str">
        <f t="shared" si="33"/>
        <v/>
      </c>
      <c r="Z700" s="178" t="str">
        <f t="shared" si="34"/>
        <v/>
      </c>
      <c r="AA700" s="44"/>
      <c r="AB700" s="65"/>
    </row>
    <row r="701" spans="1:28" ht="25" hidden="1">
      <c r="A701" s="751">
        <v>50243</v>
      </c>
      <c r="B701" s="752" t="s">
        <v>35</v>
      </c>
      <c r="C701" s="751" t="s">
        <v>2960</v>
      </c>
      <c r="D701" s="752" t="s">
        <v>1770</v>
      </c>
      <c r="E701" s="752" t="s">
        <v>1770</v>
      </c>
      <c r="F701" s="751">
        <v>9303</v>
      </c>
      <c r="G701" s="752" t="s">
        <v>92</v>
      </c>
      <c r="H701" s="752" t="s">
        <v>1245</v>
      </c>
      <c r="I701" s="752" t="s">
        <v>60</v>
      </c>
      <c r="J701" s="751">
        <v>22</v>
      </c>
      <c r="K701" s="751">
        <v>2</v>
      </c>
      <c r="L701" s="752" t="s">
        <v>54</v>
      </c>
      <c r="M701" s="752" t="s">
        <v>44</v>
      </c>
      <c r="N701" s="752" t="s">
        <v>410</v>
      </c>
      <c r="O701" s="752" t="s">
        <v>84</v>
      </c>
      <c r="P701" s="752" t="s">
        <v>47</v>
      </c>
      <c r="Q701" s="753">
        <v>0</v>
      </c>
      <c r="R701" s="753">
        <v>0</v>
      </c>
      <c r="S701" s="753">
        <v>0</v>
      </c>
      <c r="T701" s="753">
        <v>0</v>
      </c>
      <c r="U701" s="753">
        <v>0</v>
      </c>
      <c r="V701" s="751">
        <v>2019</v>
      </c>
      <c r="W701" s="222"/>
      <c r="X701" s="186"/>
      <c r="Y701" s="178" t="str">
        <f t="shared" si="33"/>
        <v/>
      </c>
      <c r="Z701" s="178" t="str">
        <f t="shared" si="34"/>
        <v/>
      </c>
      <c r="AA701" s="44"/>
      <c r="AB701" s="65"/>
    </row>
    <row r="702" spans="1:28" ht="25" hidden="1">
      <c r="A702" s="751">
        <v>50243</v>
      </c>
      <c r="B702" s="752" t="s">
        <v>35</v>
      </c>
      <c r="C702" s="751" t="s">
        <v>2960</v>
      </c>
      <c r="D702" s="752" t="s">
        <v>1770</v>
      </c>
      <c r="E702" s="752" t="s">
        <v>1770</v>
      </c>
      <c r="F702" s="751">
        <v>9303</v>
      </c>
      <c r="G702" s="752" t="s">
        <v>92</v>
      </c>
      <c r="H702" s="752" t="s">
        <v>1245</v>
      </c>
      <c r="I702" s="752" t="s">
        <v>60</v>
      </c>
      <c r="J702" s="751">
        <v>22</v>
      </c>
      <c r="K702" s="751">
        <v>2</v>
      </c>
      <c r="L702" s="752" t="s">
        <v>54</v>
      </c>
      <c r="M702" s="752" t="s">
        <v>44</v>
      </c>
      <c r="N702" s="752" t="s">
        <v>71</v>
      </c>
      <c r="O702" s="752" t="s">
        <v>72</v>
      </c>
      <c r="P702" s="752" t="s">
        <v>47</v>
      </c>
      <c r="Q702" s="753">
        <v>0</v>
      </c>
      <c r="R702" s="753">
        <v>0</v>
      </c>
      <c r="S702" s="753">
        <v>0</v>
      </c>
      <c r="T702" s="753">
        <v>0</v>
      </c>
      <c r="U702" s="753">
        <v>0</v>
      </c>
      <c r="V702" s="751">
        <v>2019</v>
      </c>
      <c r="W702" s="222"/>
      <c r="X702" s="186" t="str">
        <f>IF(OR(K702&gt;3,T702=0,NOT(U702&gt;0)),"",T702/U702)</f>
        <v/>
      </c>
      <c r="Y702" s="178" t="str">
        <f t="shared" si="33"/>
        <v/>
      </c>
      <c r="Z702" s="178" t="str">
        <f t="shared" si="34"/>
        <v/>
      </c>
      <c r="AA702" s="44"/>
      <c r="AB702" s="65"/>
    </row>
    <row r="703" spans="1:28" hidden="1">
      <c r="A703" s="751">
        <v>50268</v>
      </c>
      <c r="B703" s="752" t="s">
        <v>35</v>
      </c>
      <c r="C703" s="751" t="s">
        <v>2960</v>
      </c>
      <c r="D703" s="752" t="s">
        <v>910</v>
      </c>
      <c r="E703" s="752" t="s">
        <v>123</v>
      </c>
      <c r="F703" s="751">
        <v>5914</v>
      </c>
      <c r="G703" s="752" t="s">
        <v>59</v>
      </c>
      <c r="H703" s="752" t="s">
        <v>1244</v>
      </c>
      <c r="I703" s="752" t="s">
        <v>60</v>
      </c>
      <c r="J703" s="751">
        <v>22</v>
      </c>
      <c r="K703" s="751">
        <v>2</v>
      </c>
      <c r="L703" s="752" t="s">
        <v>54</v>
      </c>
      <c r="M703" s="752" t="s">
        <v>37</v>
      </c>
      <c r="N703" s="752" t="s">
        <v>38</v>
      </c>
      <c r="O703" s="752" t="s">
        <v>39</v>
      </c>
      <c r="P703" s="752" t="s">
        <v>1238</v>
      </c>
      <c r="Q703" s="753">
        <v>0</v>
      </c>
      <c r="R703" s="753">
        <v>0</v>
      </c>
      <c r="S703" s="753">
        <v>138662</v>
      </c>
      <c r="T703" s="753">
        <v>138662</v>
      </c>
      <c r="U703" s="753">
        <v>15573</v>
      </c>
      <c r="V703" s="751">
        <v>2019</v>
      </c>
      <c r="W703" s="222"/>
      <c r="X703" s="186">
        <f>IF(OR(K703&gt;3,T703=0,NOT(U703&gt;0)),"",T703/U703)</f>
        <v>8.9040005137096259</v>
      </c>
      <c r="Y703" s="86" t="str">
        <f t="shared" si="33"/>
        <v/>
      </c>
      <c r="Z703" s="86" t="str">
        <f t="shared" si="34"/>
        <v/>
      </c>
      <c r="AA703" s="44"/>
      <c r="AB703" s="65"/>
    </row>
    <row r="704" spans="1:28" hidden="1">
      <c r="A704" s="751">
        <v>50269</v>
      </c>
      <c r="B704" s="752" t="s">
        <v>35</v>
      </c>
      <c r="C704" s="751" t="s">
        <v>2960</v>
      </c>
      <c r="D704" s="752" t="s">
        <v>911</v>
      </c>
      <c r="E704" s="752" t="s">
        <v>123</v>
      </c>
      <c r="F704" s="751">
        <v>5914</v>
      </c>
      <c r="G704" s="752" t="s">
        <v>59</v>
      </c>
      <c r="H704" s="752" t="s">
        <v>1244</v>
      </c>
      <c r="I704" s="752" t="s">
        <v>60</v>
      </c>
      <c r="J704" s="751">
        <v>22</v>
      </c>
      <c r="K704" s="751">
        <v>2</v>
      </c>
      <c r="L704" s="752" t="s">
        <v>54</v>
      </c>
      <c r="M704" s="752" t="s">
        <v>37</v>
      </c>
      <c r="N704" s="752" t="s">
        <v>38</v>
      </c>
      <c r="O704" s="752" t="s">
        <v>39</v>
      </c>
      <c r="P704" s="752" t="s">
        <v>1238</v>
      </c>
      <c r="Q704" s="753">
        <v>0</v>
      </c>
      <c r="R704" s="753">
        <v>0</v>
      </c>
      <c r="S704" s="753">
        <v>131254</v>
      </c>
      <c r="T704" s="753">
        <v>131254</v>
      </c>
      <c r="U704" s="753">
        <v>14741</v>
      </c>
      <c r="V704" s="751">
        <v>2019</v>
      </c>
      <c r="W704" s="222"/>
      <c r="X704" s="186">
        <f>IF(OR(K704&gt;3,T704=0,NOT(U704&gt;0)),"",T704/U704)</f>
        <v>8.9040092259683874</v>
      </c>
      <c r="Y704" s="178" t="str">
        <f t="shared" si="33"/>
        <v/>
      </c>
      <c r="Z704" s="178" t="str">
        <f t="shared" si="34"/>
        <v/>
      </c>
      <c r="AA704" s="44"/>
      <c r="AB704" s="65"/>
    </row>
    <row r="705" spans="1:28" hidden="1">
      <c r="A705" s="751">
        <v>50273</v>
      </c>
      <c r="B705" s="752" t="s">
        <v>35</v>
      </c>
      <c r="C705" s="751" t="s">
        <v>2960</v>
      </c>
      <c r="D705" s="752" t="s">
        <v>912</v>
      </c>
      <c r="E705" s="752" t="s">
        <v>2972</v>
      </c>
      <c r="F705" s="751">
        <v>56125</v>
      </c>
      <c r="G705" s="752" t="s">
        <v>83</v>
      </c>
      <c r="H705" s="752" t="s">
        <v>1245</v>
      </c>
      <c r="I705" s="752" t="s">
        <v>60</v>
      </c>
      <c r="J705" s="751">
        <v>22</v>
      </c>
      <c r="K705" s="751">
        <v>2</v>
      </c>
      <c r="L705" s="752" t="s">
        <v>54</v>
      </c>
      <c r="M705" s="752" t="s">
        <v>44</v>
      </c>
      <c r="N705" s="752" t="s">
        <v>48</v>
      </c>
      <c r="O705" s="752" t="s">
        <v>48</v>
      </c>
      <c r="P705" s="752" t="s">
        <v>49</v>
      </c>
      <c r="Q705" s="753">
        <v>0</v>
      </c>
      <c r="R705" s="753">
        <v>0</v>
      </c>
      <c r="S705" s="753">
        <v>0</v>
      </c>
      <c r="T705" s="753">
        <v>0</v>
      </c>
      <c r="U705" s="753">
        <v>0</v>
      </c>
      <c r="V705" s="751">
        <v>2019</v>
      </c>
      <c r="W705" s="222"/>
      <c r="X705" s="186"/>
      <c r="Y705" s="178" t="str">
        <f t="shared" si="33"/>
        <v/>
      </c>
      <c r="Z705" s="178" t="str">
        <f t="shared" si="34"/>
        <v/>
      </c>
      <c r="AA705" s="44"/>
      <c r="AB705" s="65"/>
    </row>
    <row r="706" spans="1:28" ht="25" hidden="1">
      <c r="A706" s="751">
        <v>50273</v>
      </c>
      <c r="B706" s="752" t="s">
        <v>35</v>
      </c>
      <c r="C706" s="751" t="s">
        <v>2960</v>
      </c>
      <c r="D706" s="752" t="s">
        <v>912</v>
      </c>
      <c r="E706" s="752" t="s">
        <v>2972</v>
      </c>
      <c r="F706" s="751">
        <v>56125</v>
      </c>
      <c r="G706" s="752" t="s">
        <v>83</v>
      </c>
      <c r="H706" s="752" t="s">
        <v>1245</v>
      </c>
      <c r="I706" s="752" t="s">
        <v>60</v>
      </c>
      <c r="J706" s="751">
        <v>22</v>
      </c>
      <c r="K706" s="751">
        <v>2</v>
      </c>
      <c r="L706" s="752" t="s">
        <v>54</v>
      </c>
      <c r="M706" s="752" t="s">
        <v>44</v>
      </c>
      <c r="N706" s="752" t="s">
        <v>18</v>
      </c>
      <c r="O706" s="752" t="s">
        <v>66</v>
      </c>
      <c r="P706" s="752" t="s">
        <v>47</v>
      </c>
      <c r="Q706" s="753">
        <v>68178</v>
      </c>
      <c r="R706" s="753">
        <v>68178</v>
      </c>
      <c r="S706" s="753">
        <v>452634</v>
      </c>
      <c r="T706" s="753">
        <v>452634</v>
      </c>
      <c r="U706" s="753">
        <v>14491.734</v>
      </c>
      <c r="V706" s="751">
        <v>2019</v>
      </c>
      <c r="W706" s="222"/>
      <c r="X706" s="186"/>
      <c r="Y706" s="86" t="str">
        <f t="shared" si="33"/>
        <v/>
      </c>
      <c r="Z706" s="86" t="str">
        <f t="shared" si="34"/>
        <v/>
      </c>
      <c r="AA706" s="44"/>
      <c r="AB706" s="65"/>
    </row>
    <row r="707" spans="1:28" ht="25" hidden="1">
      <c r="A707" s="751">
        <v>50273</v>
      </c>
      <c r="B707" s="752" t="s">
        <v>35</v>
      </c>
      <c r="C707" s="751" t="s">
        <v>2960</v>
      </c>
      <c r="D707" s="752" t="s">
        <v>912</v>
      </c>
      <c r="E707" s="752" t="s">
        <v>2972</v>
      </c>
      <c r="F707" s="751">
        <v>56125</v>
      </c>
      <c r="G707" s="752" t="s">
        <v>83</v>
      </c>
      <c r="H707" s="752" t="s">
        <v>1245</v>
      </c>
      <c r="I707" s="752" t="s">
        <v>60</v>
      </c>
      <c r="J707" s="751">
        <v>22</v>
      </c>
      <c r="K707" s="751">
        <v>2</v>
      </c>
      <c r="L707" s="752" t="s">
        <v>54</v>
      </c>
      <c r="M707" s="752" t="s">
        <v>44</v>
      </c>
      <c r="N707" s="752" t="s">
        <v>19</v>
      </c>
      <c r="O707" s="752" t="s">
        <v>84</v>
      </c>
      <c r="P707" s="752" t="s">
        <v>47</v>
      </c>
      <c r="Q707" s="753">
        <v>43589</v>
      </c>
      <c r="R707" s="753">
        <v>43589</v>
      </c>
      <c r="S707" s="753">
        <v>553233</v>
      </c>
      <c r="T707" s="753">
        <v>553233</v>
      </c>
      <c r="U707" s="753">
        <v>17712.522000000001</v>
      </c>
      <c r="V707" s="751">
        <v>2019</v>
      </c>
      <c r="W707" s="222"/>
      <c r="X707" s="186">
        <f>IF(OR(K707&gt;3,T707=0,NOT(U707&gt;0)),"",T707/U707)</f>
        <v>31.234004959880924</v>
      </c>
      <c r="Y707" s="178" t="str">
        <f t="shared" si="33"/>
        <v/>
      </c>
      <c r="Z707" s="178" t="str">
        <f t="shared" si="34"/>
        <v/>
      </c>
      <c r="AA707" s="44"/>
      <c r="AB707" s="65"/>
    </row>
    <row r="708" spans="1:28" hidden="1">
      <c r="A708" s="751">
        <v>50273</v>
      </c>
      <c r="B708" s="752" t="s">
        <v>35</v>
      </c>
      <c r="C708" s="751" t="s">
        <v>2960</v>
      </c>
      <c r="D708" s="752" t="s">
        <v>912</v>
      </c>
      <c r="E708" s="752" t="s">
        <v>2972</v>
      </c>
      <c r="F708" s="751">
        <v>56125</v>
      </c>
      <c r="G708" s="752" t="s">
        <v>83</v>
      </c>
      <c r="H708" s="752" t="s">
        <v>1245</v>
      </c>
      <c r="I708" s="752" t="s">
        <v>60</v>
      </c>
      <c r="J708" s="751">
        <v>22</v>
      </c>
      <c r="K708" s="751">
        <v>2</v>
      </c>
      <c r="L708" s="752" t="s">
        <v>54</v>
      </c>
      <c r="M708" s="752" t="s">
        <v>44</v>
      </c>
      <c r="N708" s="752" t="s">
        <v>41</v>
      </c>
      <c r="O708" s="752" t="s">
        <v>41</v>
      </c>
      <c r="P708" s="752" t="s">
        <v>1091</v>
      </c>
      <c r="Q708" s="753">
        <v>21526</v>
      </c>
      <c r="R708" s="753">
        <v>21526</v>
      </c>
      <c r="S708" s="753">
        <v>21526</v>
      </c>
      <c r="T708" s="753">
        <v>21526</v>
      </c>
      <c r="U708" s="753">
        <v>689.18700000000001</v>
      </c>
      <c r="V708" s="751">
        <v>2019</v>
      </c>
      <c r="W708" s="222"/>
      <c r="X708" s="186"/>
      <c r="Y708" s="178" t="str">
        <f t="shared" si="33"/>
        <v/>
      </c>
      <c r="Z708" s="178" t="str">
        <f t="shared" si="34"/>
        <v/>
      </c>
      <c r="AA708" s="44"/>
      <c r="AB708" s="65"/>
    </row>
    <row r="709" spans="1:28" ht="25" hidden="1">
      <c r="A709" s="751">
        <v>50273</v>
      </c>
      <c r="B709" s="752" t="s">
        <v>35</v>
      </c>
      <c r="C709" s="751" t="s">
        <v>2960</v>
      </c>
      <c r="D709" s="752" t="s">
        <v>912</v>
      </c>
      <c r="E709" s="752" t="s">
        <v>2972</v>
      </c>
      <c r="F709" s="751">
        <v>56125</v>
      </c>
      <c r="G709" s="752" t="s">
        <v>83</v>
      </c>
      <c r="H709" s="752" t="s">
        <v>1245</v>
      </c>
      <c r="I709" s="752" t="s">
        <v>60</v>
      </c>
      <c r="J709" s="751">
        <v>22</v>
      </c>
      <c r="K709" s="751">
        <v>2</v>
      </c>
      <c r="L709" s="752" t="s">
        <v>54</v>
      </c>
      <c r="M709" s="752" t="s">
        <v>44</v>
      </c>
      <c r="N709" s="752" t="s">
        <v>410</v>
      </c>
      <c r="O709" s="752" t="s">
        <v>84</v>
      </c>
      <c r="P709" s="752" t="s">
        <v>47</v>
      </c>
      <c r="Q709" s="753">
        <v>152</v>
      </c>
      <c r="R709" s="753">
        <v>152</v>
      </c>
      <c r="S709" s="753">
        <v>3648</v>
      </c>
      <c r="T709" s="753">
        <v>3648</v>
      </c>
      <c r="U709" s="753">
        <v>116.79600000000001</v>
      </c>
      <c r="V709" s="751">
        <v>2019</v>
      </c>
      <c r="W709" s="222"/>
      <c r="X709" s="186"/>
      <c r="Y709" s="178" t="str">
        <f t="shared" si="33"/>
        <v/>
      </c>
      <c r="Z709" s="178" t="str">
        <f t="shared" si="34"/>
        <v/>
      </c>
      <c r="AA709" s="44"/>
      <c r="AB709" s="65"/>
    </row>
    <row r="710" spans="1:28" ht="25" hidden="1">
      <c r="A710" s="751">
        <v>50273</v>
      </c>
      <c r="B710" s="752" t="s">
        <v>35</v>
      </c>
      <c r="C710" s="751" t="s">
        <v>2960</v>
      </c>
      <c r="D710" s="752" t="s">
        <v>912</v>
      </c>
      <c r="E710" s="752" t="s">
        <v>2972</v>
      </c>
      <c r="F710" s="751">
        <v>56125</v>
      </c>
      <c r="G710" s="752" t="s">
        <v>83</v>
      </c>
      <c r="H710" s="752" t="s">
        <v>1245</v>
      </c>
      <c r="I710" s="752" t="s">
        <v>60</v>
      </c>
      <c r="J710" s="751">
        <v>22</v>
      </c>
      <c r="K710" s="751">
        <v>2</v>
      </c>
      <c r="L710" s="752" t="s">
        <v>54</v>
      </c>
      <c r="M710" s="752" t="s">
        <v>44</v>
      </c>
      <c r="N710" s="752" t="s">
        <v>71</v>
      </c>
      <c r="O710" s="752" t="s">
        <v>72</v>
      </c>
      <c r="P710" s="752" t="s">
        <v>47</v>
      </c>
      <c r="Q710" s="753">
        <v>1243</v>
      </c>
      <c r="R710" s="753">
        <v>1243</v>
      </c>
      <c r="S710" s="753">
        <v>13673</v>
      </c>
      <c r="T710" s="753">
        <v>13673</v>
      </c>
      <c r="U710" s="753">
        <v>437.76100000000002</v>
      </c>
      <c r="V710" s="751">
        <v>2019</v>
      </c>
      <c r="W710" s="222"/>
      <c r="X710" s="186"/>
      <c r="Y710" s="178" t="str">
        <f t="shared" si="33"/>
        <v/>
      </c>
      <c r="Z710" s="178" t="str">
        <f t="shared" si="34"/>
        <v/>
      </c>
      <c r="AA710" s="44"/>
      <c r="AB710" s="65"/>
    </row>
    <row r="711" spans="1:28" hidden="1">
      <c r="A711" s="751">
        <v>50278</v>
      </c>
      <c r="B711" s="752" t="s">
        <v>35</v>
      </c>
      <c r="C711" s="751" t="s">
        <v>2960</v>
      </c>
      <c r="D711" s="752" t="s">
        <v>913</v>
      </c>
      <c r="E711" s="752" t="s">
        <v>1159</v>
      </c>
      <c r="F711" s="751">
        <v>57280</v>
      </c>
      <c r="G711" s="752" t="s">
        <v>92</v>
      </c>
      <c r="H711" s="752" t="s">
        <v>1245</v>
      </c>
      <c r="I711" s="752" t="s">
        <v>60</v>
      </c>
      <c r="J711" s="751">
        <v>22</v>
      </c>
      <c r="K711" s="751">
        <v>2</v>
      </c>
      <c r="L711" s="752" t="s">
        <v>54</v>
      </c>
      <c r="M711" s="752" t="s">
        <v>37</v>
      </c>
      <c r="N711" s="752" t="s">
        <v>38</v>
      </c>
      <c r="O711" s="752" t="s">
        <v>39</v>
      </c>
      <c r="P711" s="752" t="s">
        <v>1238</v>
      </c>
      <c r="Q711" s="753">
        <v>0</v>
      </c>
      <c r="R711" s="753">
        <v>0</v>
      </c>
      <c r="S711" s="753">
        <v>851018</v>
      </c>
      <c r="T711" s="753">
        <v>851018</v>
      </c>
      <c r="U711" s="753">
        <v>95577</v>
      </c>
      <c r="V711" s="751">
        <v>2019</v>
      </c>
      <c r="W711" s="222"/>
      <c r="X711" s="186">
        <f>IF(OR(K711&gt;3,T711=0,NOT(U711&gt;0)),"",T711/U711)</f>
        <v>8.9040041014051496</v>
      </c>
      <c r="Y711" s="86" t="str">
        <f t="shared" ref="Y711:Y774" si="36">IF(AND($M711=$Y$2,$N711=$Y$3,NOT($Q711=$R711),NOT($U711=0)),IF($K711=5,$S711/($U711+(8/5)*$U711),IF($K711=7,$S711/($U711+(29/25)*$U711),"")),"")</f>
        <v/>
      </c>
      <c r="Z711" s="86" t="str">
        <f t="shared" ref="Z711:Z774" si="37">IF(AND($M711=$Y$2,$N711=$Y$4,NOT($Q711=$R711),NOT($U711=0)),IF($K711=5,$S711/($U711+(8/5)*$U711),IF($K711=7,$S711/($U711+(29/25)*$U711),"")),"")</f>
        <v/>
      </c>
      <c r="AA711" s="44"/>
      <c r="AB711" s="65"/>
    </row>
    <row r="712" spans="1:28" hidden="1">
      <c r="A712" s="751">
        <v>50280</v>
      </c>
      <c r="B712" s="752" t="s">
        <v>35</v>
      </c>
      <c r="C712" s="751" t="s">
        <v>2960</v>
      </c>
      <c r="D712" s="752" t="s">
        <v>914</v>
      </c>
      <c r="E712" s="752" t="s">
        <v>2973</v>
      </c>
      <c r="F712" s="751">
        <v>63070</v>
      </c>
      <c r="G712" s="752" t="s">
        <v>59</v>
      </c>
      <c r="H712" s="752" t="s">
        <v>1244</v>
      </c>
      <c r="I712" s="752" t="s">
        <v>60</v>
      </c>
      <c r="J712" s="751">
        <v>22</v>
      </c>
      <c r="K712" s="751">
        <v>2</v>
      </c>
      <c r="L712" s="752" t="s">
        <v>54</v>
      </c>
      <c r="M712" s="752" t="s">
        <v>37</v>
      </c>
      <c r="N712" s="752" t="s">
        <v>38</v>
      </c>
      <c r="O712" s="752" t="s">
        <v>39</v>
      </c>
      <c r="P712" s="752" t="s">
        <v>1238</v>
      </c>
      <c r="Q712" s="753">
        <v>0</v>
      </c>
      <c r="R712" s="753">
        <v>0</v>
      </c>
      <c r="S712" s="753">
        <v>257646</v>
      </c>
      <c r="T712" s="753">
        <v>257646</v>
      </c>
      <c r="U712" s="753">
        <v>28936</v>
      </c>
      <c r="V712" s="751">
        <v>2019</v>
      </c>
      <c r="W712" s="222"/>
      <c r="X712" s="186">
        <f>IF(OR(K712&gt;3,T712=0,NOT(U712&gt;0)),"",T712/U712)</f>
        <v>8.9039950235001388</v>
      </c>
      <c r="Y712" s="178" t="str">
        <f t="shared" si="36"/>
        <v/>
      </c>
      <c r="Z712" s="178" t="str">
        <f t="shared" si="37"/>
        <v/>
      </c>
      <c r="AA712" s="44"/>
      <c r="AB712" s="65"/>
    </row>
    <row r="713" spans="1:28" hidden="1">
      <c r="A713" s="751">
        <v>50285</v>
      </c>
      <c r="B713" s="752" t="s">
        <v>35</v>
      </c>
      <c r="C713" s="751" t="s">
        <v>2960</v>
      </c>
      <c r="D713" s="752" t="s">
        <v>1771</v>
      </c>
      <c r="E713" s="752" t="s">
        <v>2254</v>
      </c>
      <c r="F713" s="751">
        <v>60832</v>
      </c>
      <c r="G713" s="752" t="s">
        <v>98</v>
      </c>
      <c r="H713" s="752" t="s">
        <v>1245</v>
      </c>
      <c r="I713" s="752" t="s">
        <v>60</v>
      </c>
      <c r="J713" s="751">
        <v>22</v>
      </c>
      <c r="K713" s="751">
        <v>2</v>
      </c>
      <c r="L713" s="752" t="s">
        <v>54</v>
      </c>
      <c r="M713" s="752" t="s">
        <v>37</v>
      </c>
      <c r="N713" s="752" t="s">
        <v>38</v>
      </c>
      <c r="O713" s="752" t="s">
        <v>39</v>
      </c>
      <c r="P713" s="752" t="s">
        <v>1238</v>
      </c>
      <c r="Q713" s="753">
        <v>0</v>
      </c>
      <c r="R713" s="753">
        <v>0</v>
      </c>
      <c r="S713" s="753">
        <v>50707</v>
      </c>
      <c r="T713" s="753">
        <v>50707</v>
      </c>
      <c r="U713" s="753">
        <v>5695</v>
      </c>
      <c r="V713" s="751">
        <v>2019</v>
      </c>
      <c r="W713" s="222"/>
      <c r="X713" s="186"/>
      <c r="Y713" s="178" t="str">
        <f t="shared" si="36"/>
        <v/>
      </c>
      <c r="Z713" s="178" t="str">
        <f t="shared" si="37"/>
        <v/>
      </c>
      <c r="AA713" s="44"/>
      <c r="AB713" s="65"/>
    </row>
    <row r="714" spans="1:28" hidden="1">
      <c r="A714" s="751">
        <v>50290</v>
      </c>
      <c r="B714" s="752" t="s">
        <v>35</v>
      </c>
      <c r="C714" s="751" t="s">
        <v>2960</v>
      </c>
      <c r="D714" s="752" t="s">
        <v>0</v>
      </c>
      <c r="E714" s="752" t="s">
        <v>1</v>
      </c>
      <c r="F714" s="751">
        <v>16929</v>
      </c>
      <c r="G714" s="752" t="s">
        <v>83</v>
      </c>
      <c r="H714" s="752" t="s">
        <v>1245</v>
      </c>
      <c r="I714" s="752" t="s">
        <v>60</v>
      </c>
      <c r="J714" s="751">
        <v>22</v>
      </c>
      <c r="K714" s="751">
        <v>2</v>
      </c>
      <c r="L714" s="752" t="s">
        <v>54</v>
      </c>
      <c r="M714" s="752" t="s">
        <v>44</v>
      </c>
      <c r="N714" s="752" t="s">
        <v>48</v>
      </c>
      <c r="O714" s="752" t="s">
        <v>48</v>
      </c>
      <c r="P714" s="752" t="s">
        <v>49</v>
      </c>
      <c r="Q714" s="753">
        <v>3497</v>
      </c>
      <c r="R714" s="753">
        <v>3497</v>
      </c>
      <c r="S714" s="753">
        <v>20284</v>
      </c>
      <c r="T714" s="753">
        <v>20284</v>
      </c>
      <c r="U714" s="753">
        <v>1104.0999999999999</v>
      </c>
      <c r="V714" s="751">
        <v>2019</v>
      </c>
      <c r="W714" s="222"/>
      <c r="X714" s="186"/>
      <c r="Y714" s="178" t="str">
        <f t="shared" si="36"/>
        <v/>
      </c>
      <c r="Z714" s="178" t="str">
        <f t="shared" si="37"/>
        <v/>
      </c>
      <c r="AA714" s="44"/>
      <c r="AB714" s="65"/>
    </row>
    <row r="715" spans="1:28" ht="25" hidden="1">
      <c r="A715" s="751">
        <v>50290</v>
      </c>
      <c r="B715" s="752" t="s">
        <v>35</v>
      </c>
      <c r="C715" s="751" t="s">
        <v>2960</v>
      </c>
      <c r="D715" s="752" t="s">
        <v>0</v>
      </c>
      <c r="E715" s="752" t="s">
        <v>1</v>
      </c>
      <c r="F715" s="751">
        <v>16929</v>
      </c>
      <c r="G715" s="752" t="s">
        <v>83</v>
      </c>
      <c r="H715" s="752" t="s">
        <v>1245</v>
      </c>
      <c r="I715" s="752" t="s">
        <v>60</v>
      </c>
      <c r="J715" s="751">
        <v>22</v>
      </c>
      <c r="K715" s="751">
        <v>2</v>
      </c>
      <c r="L715" s="752" t="s">
        <v>54</v>
      </c>
      <c r="M715" s="752" t="s">
        <v>44</v>
      </c>
      <c r="N715" s="752" t="s">
        <v>18</v>
      </c>
      <c r="O715" s="752" t="s">
        <v>66</v>
      </c>
      <c r="P715" s="752" t="s">
        <v>47</v>
      </c>
      <c r="Q715" s="753">
        <v>656572</v>
      </c>
      <c r="R715" s="753">
        <v>656572</v>
      </c>
      <c r="S715" s="753">
        <v>4843533</v>
      </c>
      <c r="T715" s="753">
        <v>4843533</v>
      </c>
      <c r="U715" s="753">
        <v>260549.66</v>
      </c>
      <c r="V715" s="751">
        <v>2019</v>
      </c>
      <c r="W715" s="222"/>
      <c r="X715" s="186"/>
      <c r="Y715" s="178" t="str">
        <f t="shared" si="36"/>
        <v/>
      </c>
      <c r="Z715" s="178" t="str">
        <f t="shared" si="37"/>
        <v/>
      </c>
      <c r="AA715" s="44"/>
      <c r="AB715" s="65"/>
    </row>
    <row r="716" spans="1:28" ht="25" hidden="1">
      <c r="A716" s="751">
        <v>50290</v>
      </c>
      <c r="B716" s="752" t="s">
        <v>35</v>
      </c>
      <c r="C716" s="751" t="s">
        <v>2960</v>
      </c>
      <c r="D716" s="752" t="s">
        <v>0</v>
      </c>
      <c r="E716" s="752" t="s">
        <v>1</v>
      </c>
      <c r="F716" s="751">
        <v>16929</v>
      </c>
      <c r="G716" s="752" t="s">
        <v>83</v>
      </c>
      <c r="H716" s="752" t="s">
        <v>1245</v>
      </c>
      <c r="I716" s="752" t="s">
        <v>60</v>
      </c>
      <c r="J716" s="751">
        <v>22</v>
      </c>
      <c r="K716" s="751">
        <v>2</v>
      </c>
      <c r="L716" s="752" t="s">
        <v>54</v>
      </c>
      <c r="M716" s="752" t="s">
        <v>44</v>
      </c>
      <c r="N716" s="752" t="s">
        <v>19</v>
      </c>
      <c r="O716" s="752" t="s">
        <v>84</v>
      </c>
      <c r="P716" s="752" t="s">
        <v>47</v>
      </c>
      <c r="Q716" s="753">
        <v>419770</v>
      </c>
      <c r="R716" s="753">
        <v>419770</v>
      </c>
      <c r="S716" s="753">
        <v>5919909</v>
      </c>
      <c r="T716" s="753">
        <v>5919909</v>
      </c>
      <c r="U716" s="753">
        <v>318451.46999999997</v>
      </c>
      <c r="V716" s="751">
        <v>2019</v>
      </c>
      <c r="W716" s="222"/>
      <c r="X716" s="186">
        <f>IF(OR(K716&gt;3,T716=0,NOT(U716&gt;0)),"",T716/U716)</f>
        <v>18.589673961938377</v>
      </c>
      <c r="Y716" s="178" t="str">
        <f t="shared" si="36"/>
        <v/>
      </c>
      <c r="Z716" s="178" t="str">
        <f t="shared" si="37"/>
        <v/>
      </c>
      <c r="AA716" s="44"/>
      <c r="AB716" s="65"/>
    </row>
    <row r="717" spans="1:28" hidden="1">
      <c r="A717" s="751">
        <v>50290</v>
      </c>
      <c r="B717" s="752" t="s">
        <v>35</v>
      </c>
      <c r="C717" s="751" t="s">
        <v>2960</v>
      </c>
      <c r="D717" s="752" t="s">
        <v>0</v>
      </c>
      <c r="E717" s="752" t="s">
        <v>1</v>
      </c>
      <c r="F717" s="751">
        <v>16929</v>
      </c>
      <c r="G717" s="752" t="s">
        <v>83</v>
      </c>
      <c r="H717" s="752" t="s">
        <v>1245</v>
      </c>
      <c r="I717" s="752" t="s">
        <v>60</v>
      </c>
      <c r="J717" s="751">
        <v>22</v>
      </c>
      <c r="K717" s="751">
        <v>2</v>
      </c>
      <c r="L717" s="752" t="s">
        <v>54</v>
      </c>
      <c r="M717" s="752" t="s">
        <v>44</v>
      </c>
      <c r="N717" s="752" t="s">
        <v>41</v>
      </c>
      <c r="O717" s="752" t="s">
        <v>41</v>
      </c>
      <c r="P717" s="752" t="s">
        <v>1091</v>
      </c>
      <c r="Q717" s="753">
        <v>67257</v>
      </c>
      <c r="R717" s="753">
        <v>67257</v>
      </c>
      <c r="S717" s="753">
        <v>67257</v>
      </c>
      <c r="T717" s="753">
        <v>67257</v>
      </c>
      <c r="U717" s="753">
        <v>3628.77</v>
      </c>
      <c r="V717" s="751">
        <v>2019</v>
      </c>
      <c r="W717" s="222"/>
      <c r="X717" s="186">
        <f>IF(OR(K717&gt;3,T717=0,NOT(U717&gt;0)),"",T717/U717)</f>
        <v>18.53437941781926</v>
      </c>
      <c r="Y717" s="178" t="str">
        <f t="shared" si="36"/>
        <v/>
      </c>
      <c r="Z717" s="178" t="str">
        <f t="shared" si="37"/>
        <v/>
      </c>
      <c r="AA717" s="44"/>
      <c r="AB717" s="65"/>
    </row>
    <row r="718" spans="1:28" hidden="1">
      <c r="A718" s="751">
        <v>50292</v>
      </c>
      <c r="B718" s="752" t="s">
        <v>35</v>
      </c>
      <c r="C718" s="751" t="s">
        <v>2960</v>
      </c>
      <c r="D718" s="752" t="s">
        <v>2</v>
      </c>
      <c r="E718" s="752" t="s">
        <v>3</v>
      </c>
      <c r="F718" s="751">
        <v>24457</v>
      </c>
      <c r="G718" s="752" t="s">
        <v>59</v>
      </c>
      <c r="H718" s="752" t="s">
        <v>1244</v>
      </c>
      <c r="I718" s="752" t="s">
        <v>60</v>
      </c>
      <c r="J718" s="751">
        <v>22</v>
      </c>
      <c r="K718" s="751">
        <v>2</v>
      </c>
      <c r="L718" s="752" t="s">
        <v>54</v>
      </c>
      <c r="M718" s="752" t="s">
        <v>40</v>
      </c>
      <c r="N718" s="752" t="s">
        <v>48</v>
      </c>
      <c r="O718" s="752" t="s">
        <v>48</v>
      </c>
      <c r="P718" s="752" t="s">
        <v>49</v>
      </c>
      <c r="Q718" s="753">
        <v>0</v>
      </c>
      <c r="R718" s="753">
        <v>0</v>
      </c>
      <c r="S718" s="753">
        <v>0</v>
      </c>
      <c r="T718" s="753">
        <v>0</v>
      </c>
      <c r="U718" s="753">
        <v>0</v>
      </c>
      <c r="V718" s="751">
        <v>2019</v>
      </c>
      <c r="W718" s="222" t="s">
        <v>2666</v>
      </c>
      <c r="X718" s="186" t="str">
        <f>IF(OR(K718&gt;3,T718=0,NOT(U718&gt;0)),"",T718/U718)</f>
        <v/>
      </c>
      <c r="Y718" s="178" t="str">
        <f t="shared" si="36"/>
        <v/>
      </c>
      <c r="Z718" s="178" t="str">
        <f t="shared" si="37"/>
        <v/>
      </c>
      <c r="AA718" s="44"/>
      <c r="AB718" s="65"/>
    </row>
    <row r="719" spans="1:28" hidden="1">
      <c r="A719" s="751">
        <v>50292</v>
      </c>
      <c r="B719" s="752" t="s">
        <v>35</v>
      </c>
      <c r="C719" s="751" t="s">
        <v>2960</v>
      </c>
      <c r="D719" s="752" t="s">
        <v>2</v>
      </c>
      <c r="E719" s="752" t="s">
        <v>3</v>
      </c>
      <c r="F719" s="751">
        <v>24457</v>
      </c>
      <c r="G719" s="752" t="s">
        <v>59</v>
      </c>
      <c r="H719" s="752" t="s">
        <v>1244</v>
      </c>
      <c r="I719" s="752" t="s">
        <v>60</v>
      </c>
      <c r="J719" s="751">
        <v>22</v>
      </c>
      <c r="K719" s="751">
        <v>2</v>
      </c>
      <c r="L719" s="752" t="s">
        <v>54</v>
      </c>
      <c r="M719" s="752" t="s">
        <v>40</v>
      </c>
      <c r="N719" s="752" t="s">
        <v>41</v>
      </c>
      <c r="O719" s="752" t="s">
        <v>41</v>
      </c>
      <c r="P719" s="752" t="s">
        <v>1091</v>
      </c>
      <c r="Q719" s="753">
        <v>145104</v>
      </c>
      <c r="R719" s="753">
        <v>145104</v>
      </c>
      <c r="S719" s="753">
        <v>149783</v>
      </c>
      <c r="T719" s="753">
        <v>149783</v>
      </c>
      <c r="U719" s="753">
        <v>68986</v>
      </c>
      <c r="V719" s="751">
        <v>2019</v>
      </c>
      <c r="W719" s="222" t="s">
        <v>2666</v>
      </c>
      <c r="X719" s="186">
        <f>IF(OR(K719&gt;3,T719=0,NOT(U719&gt;0)),"",T719/U719)</f>
        <v>2.1712086510306441</v>
      </c>
      <c r="Y719" s="178" t="str">
        <f t="shared" si="36"/>
        <v/>
      </c>
      <c r="Z719" s="178" t="str">
        <f t="shared" si="37"/>
        <v/>
      </c>
      <c r="AA719" s="44"/>
      <c r="AB719" s="65"/>
    </row>
    <row r="720" spans="1:28" hidden="1">
      <c r="A720" s="751">
        <v>50292</v>
      </c>
      <c r="B720" s="752" t="s">
        <v>35</v>
      </c>
      <c r="C720" s="751" t="s">
        <v>2960</v>
      </c>
      <c r="D720" s="752" t="s">
        <v>2</v>
      </c>
      <c r="E720" s="752" t="s">
        <v>3</v>
      </c>
      <c r="F720" s="751">
        <v>24457</v>
      </c>
      <c r="G720" s="752" t="s">
        <v>59</v>
      </c>
      <c r="H720" s="752" t="s">
        <v>1244</v>
      </c>
      <c r="I720" s="752" t="s">
        <v>60</v>
      </c>
      <c r="J720" s="751">
        <v>22</v>
      </c>
      <c r="K720" s="751">
        <v>2</v>
      </c>
      <c r="L720" s="752" t="s">
        <v>54</v>
      </c>
      <c r="M720" s="752" t="s">
        <v>43</v>
      </c>
      <c r="N720" s="752" t="s">
        <v>48</v>
      </c>
      <c r="O720" s="752" t="s">
        <v>48</v>
      </c>
      <c r="P720" s="752" t="s">
        <v>49</v>
      </c>
      <c r="Q720" s="753">
        <v>0</v>
      </c>
      <c r="R720" s="753">
        <v>0</v>
      </c>
      <c r="S720" s="753">
        <v>0</v>
      </c>
      <c r="T720" s="753">
        <v>0</v>
      </c>
      <c r="U720" s="753">
        <v>0</v>
      </c>
      <c r="V720" s="751">
        <v>2019</v>
      </c>
      <c r="W720" s="222" t="s">
        <v>2666</v>
      </c>
      <c r="X720" s="186" t="str">
        <f>IF(OR(K720&gt;3,T720=0,NOT(U720&gt;0)),"",T720/U720)</f>
        <v/>
      </c>
      <c r="Y720" s="178" t="str">
        <f t="shared" si="36"/>
        <v/>
      </c>
      <c r="Z720" s="178" t="str">
        <f t="shared" si="37"/>
        <v/>
      </c>
      <c r="AA720" s="44"/>
      <c r="AB720" s="65"/>
    </row>
    <row r="721" spans="1:28" hidden="1">
      <c r="A721" s="751">
        <v>50292</v>
      </c>
      <c r="B721" s="752" t="s">
        <v>35</v>
      </c>
      <c r="C721" s="751" t="s">
        <v>2960</v>
      </c>
      <c r="D721" s="752" t="s">
        <v>2</v>
      </c>
      <c r="E721" s="752" t="s">
        <v>3</v>
      </c>
      <c r="F721" s="751">
        <v>24457</v>
      </c>
      <c r="G721" s="752" t="s">
        <v>59</v>
      </c>
      <c r="H721" s="752" t="s">
        <v>1244</v>
      </c>
      <c r="I721" s="752" t="s">
        <v>60</v>
      </c>
      <c r="J721" s="751">
        <v>22</v>
      </c>
      <c r="K721" s="751">
        <v>2</v>
      </c>
      <c r="L721" s="752" t="s">
        <v>54</v>
      </c>
      <c r="M721" s="752" t="s">
        <v>43</v>
      </c>
      <c r="N721" s="752" t="s">
        <v>41</v>
      </c>
      <c r="O721" s="752" t="s">
        <v>41</v>
      </c>
      <c r="P721" s="752" t="s">
        <v>1091</v>
      </c>
      <c r="Q721" s="753">
        <v>2487820</v>
      </c>
      <c r="R721" s="753">
        <v>2487820</v>
      </c>
      <c r="S721" s="753">
        <v>2566469</v>
      </c>
      <c r="T721" s="753">
        <v>2566469</v>
      </c>
      <c r="U721" s="753">
        <v>238591</v>
      </c>
      <c r="V721" s="751">
        <v>2019</v>
      </c>
      <c r="W721" s="222" t="s">
        <v>2666</v>
      </c>
      <c r="X721" s="186"/>
      <c r="Y721" s="178" t="str">
        <f t="shared" si="36"/>
        <v/>
      </c>
      <c r="Z721" s="178" t="str">
        <f t="shared" si="37"/>
        <v/>
      </c>
      <c r="AA721" s="44"/>
      <c r="AB721" s="65"/>
    </row>
    <row r="722" spans="1:28" hidden="1">
      <c r="A722" s="751">
        <v>50292</v>
      </c>
      <c r="B722" s="752" t="s">
        <v>35</v>
      </c>
      <c r="C722" s="751" t="s">
        <v>2960</v>
      </c>
      <c r="D722" s="752" t="s">
        <v>2</v>
      </c>
      <c r="E722" s="752" t="s">
        <v>3</v>
      </c>
      <c r="F722" s="751">
        <v>24457</v>
      </c>
      <c r="G722" s="752" t="s">
        <v>59</v>
      </c>
      <c r="H722" s="752" t="s">
        <v>1244</v>
      </c>
      <c r="I722" s="752" t="s">
        <v>60</v>
      </c>
      <c r="J722" s="751">
        <v>22</v>
      </c>
      <c r="K722" s="751">
        <v>2</v>
      </c>
      <c r="L722" s="752" t="s">
        <v>54</v>
      </c>
      <c r="M722" s="752" t="s">
        <v>52</v>
      </c>
      <c r="N722" s="752" t="s">
        <v>41</v>
      </c>
      <c r="O722" s="752" t="s">
        <v>41</v>
      </c>
      <c r="P722" s="752" t="s">
        <v>1091</v>
      </c>
      <c r="Q722" s="753">
        <v>450530</v>
      </c>
      <c r="R722" s="753">
        <v>450530</v>
      </c>
      <c r="S722" s="753">
        <v>464496</v>
      </c>
      <c r="T722" s="753">
        <v>464496</v>
      </c>
      <c r="U722" s="753">
        <v>45394</v>
      </c>
      <c r="V722" s="751">
        <v>2019</v>
      </c>
      <c r="W722" s="222" t="s">
        <v>2666</v>
      </c>
      <c r="X722" s="186"/>
      <c r="Y722" s="178" t="str">
        <f t="shared" si="36"/>
        <v/>
      </c>
      <c r="Z722" s="178" t="str">
        <f t="shared" si="37"/>
        <v/>
      </c>
      <c r="AA722" s="44"/>
      <c r="AB722" s="65"/>
    </row>
    <row r="723" spans="1:28" hidden="1">
      <c r="A723" s="751">
        <v>50292</v>
      </c>
      <c r="B723" s="752" t="s">
        <v>35</v>
      </c>
      <c r="C723" s="751" t="s">
        <v>2960</v>
      </c>
      <c r="D723" s="752" t="s">
        <v>2</v>
      </c>
      <c r="E723" s="752" t="s">
        <v>3</v>
      </c>
      <c r="F723" s="751">
        <v>24457</v>
      </c>
      <c r="G723" s="752" t="s">
        <v>59</v>
      </c>
      <c r="H723" s="752" t="s">
        <v>1244</v>
      </c>
      <c r="I723" s="752" t="s">
        <v>60</v>
      </c>
      <c r="J723" s="751">
        <v>22</v>
      </c>
      <c r="K723" s="751">
        <v>2</v>
      </c>
      <c r="L723" s="752" t="s">
        <v>54</v>
      </c>
      <c r="M723" s="752" t="s">
        <v>53</v>
      </c>
      <c r="N723" s="752" t="s">
        <v>48</v>
      </c>
      <c r="O723" s="752" t="s">
        <v>48</v>
      </c>
      <c r="P723" s="752" t="s">
        <v>49</v>
      </c>
      <c r="Q723" s="753">
        <v>0</v>
      </c>
      <c r="R723" s="753">
        <v>0</v>
      </c>
      <c r="S723" s="753">
        <v>0</v>
      </c>
      <c r="T723" s="753">
        <v>0</v>
      </c>
      <c r="U723" s="753">
        <v>0</v>
      </c>
      <c r="V723" s="751">
        <v>2019</v>
      </c>
      <c r="W723" s="222"/>
      <c r="X723" s="186"/>
      <c r="Y723" s="178" t="str">
        <f t="shared" si="36"/>
        <v/>
      </c>
      <c r="Z723" s="178" t="str">
        <f t="shared" si="37"/>
        <v/>
      </c>
      <c r="AA723" s="44"/>
      <c r="AB723" s="65"/>
    </row>
    <row r="724" spans="1:28" hidden="1">
      <c r="A724" s="751">
        <v>50312</v>
      </c>
      <c r="B724" s="752" t="s">
        <v>35</v>
      </c>
      <c r="C724" s="751" t="s">
        <v>2960</v>
      </c>
      <c r="D724" s="752" t="s">
        <v>915</v>
      </c>
      <c r="E724" s="752" t="s">
        <v>1159</v>
      </c>
      <c r="F724" s="751">
        <v>57280</v>
      </c>
      <c r="G724" s="752" t="s">
        <v>98</v>
      </c>
      <c r="H724" s="752" t="s">
        <v>1245</v>
      </c>
      <c r="I724" s="752" t="s">
        <v>60</v>
      </c>
      <c r="J724" s="751">
        <v>22</v>
      </c>
      <c r="K724" s="751">
        <v>2</v>
      </c>
      <c r="L724" s="752" t="s">
        <v>54</v>
      </c>
      <c r="M724" s="752" t="s">
        <v>37</v>
      </c>
      <c r="N724" s="752" t="s">
        <v>38</v>
      </c>
      <c r="O724" s="752" t="s">
        <v>39</v>
      </c>
      <c r="P724" s="752" t="s">
        <v>1238</v>
      </c>
      <c r="Q724" s="753">
        <v>0</v>
      </c>
      <c r="R724" s="753">
        <v>0</v>
      </c>
      <c r="S724" s="753">
        <v>86412</v>
      </c>
      <c r="T724" s="753">
        <v>86412</v>
      </c>
      <c r="U724" s="753">
        <v>9705</v>
      </c>
      <c r="V724" s="751">
        <v>2019</v>
      </c>
      <c r="W724" s="222"/>
      <c r="X724" s="186"/>
      <c r="Y724" s="178" t="str">
        <f t="shared" si="36"/>
        <v/>
      </c>
      <c r="Z724" s="178" t="str">
        <f t="shared" si="37"/>
        <v/>
      </c>
      <c r="AA724" s="44"/>
      <c r="AB724" s="65"/>
    </row>
    <row r="725" spans="1:28" hidden="1">
      <c r="A725" s="751">
        <v>50315</v>
      </c>
      <c r="B725" s="752" t="s">
        <v>35</v>
      </c>
      <c r="C725" s="751" t="s">
        <v>2960</v>
      </c>
      <c r="D725" s="752" t="s">
        <v>916</v>
      </c>
      <c r="E725" s="752" t="s">
        <v>2016</v>
      </c>
      <c r="F725" s="751">
        <v>24979</v>
      </c>
      <c r="G725" s="752" t="s">
        <v>59</v>
      </c>
      <c r="H725" s="752" t="s">
        <v>1244</v>
      </c>
      <c r="I725" s="752" t="s">
        <v>60</v>
      </c>
      <c r="J725" s="751">
        <v>22</v>
      </c>
      <c r="K725" s="751">
        <v>2</v>
      </c>
      <c r="L725" s="752" t="s">
        <v>54</v>
      </c>
      <c r="M725" s="752" t="s">
        <v>37</v>
      </c>
      <c r="N725" s="752" t="s">
        <v>38</v>
      </c>
      <c r="O725" s="752" t="s">
        <v>39</v>
      </c>
      <c r="P725" s="752" t="s">
        <v>1238</v>
      </c>
      <c r="Q725" s="753">
        <v>0</v>
      </c>
      <c r="R725" s="753">
        <v>0</v>
      </c>
      <c r="S725" s="753">
        <v>0</v>
      </c>
      <c r="T725" s="753">
        <v>0</v>
      </c>
      <c r="U725" s="753">
        <v>0</v>
      </c>
      <c r="V725" s="751">
        <v>2019</v>
      </c>
      <c r="W725" s="222"/>
      <c r="X725" s="186"/>
      <c r="Y725" s="178" t="str">
        <f t="shared" si="36"/>
        <v/>
      </c>
      <c r="Z725" s="178" t="str">
        <f t="shared" si="37"/>
        <v/>
      </c>
      <c r="AA725" s="44"/>
      <c r="AB725" s="65"/>
    </row>
    <row r="726" spans="1:28" hidden="1">
      <c r="A726" s="751">
        <v>50324</v>
      </c>
      <c r="B726" s="752" t="s">
        <v>35</v>
      </c>
      <c r="C726" s="751" t="s">
        <v>2960</v>
      </c>
      <c r="D726" s="752" t="s">
        <v>917</v>
      </c>
      <c r="E726" s="752" t="s">
        <v>1259</v>
      </c>
      <c r="F726" s="751">
        <v>36055</v>
      </c>
      <c r="G726" s="752" t="s">
        <v>98</v>
      </c>
      <c r="H726" s="752" t="s">
        <v>1245</v>
      </c>
      <c r="I726" s="752" t="s">
        <v>60</v>
      </c>
      <c r="J726" s="751">
        <v>22</v>
      </c>
      <c r="K726" s="751">
        <v>2</v>
      </c>
      <c r="L726" s="752" t="s">
        <v>54</v>
      </c>
      <c r="M726" s="752" t="s">
        <v>37</v>
      </c>
      <c r="N726" s="752" t="s">
        <v>38</v>
      </c>
      <c r="O726" s="752" t="s">
        <v>39</v>
      </c>
      <c r="P726" s="752" t="s">
        <v>1238</v>
      </c>
      <c r="Q726" s="753">
        <v>0</v>
      </c>
      <c r="R726" s="753">
        <v>0</v>
      </c>
      <c r="S726" s="753">
        <v>18840</v>
      </c>
      <c r="T726" s="753">
        <v>18840</v>
      </c>
      <c r="U726" s="753">
        <v>2116</v>
      </c>
      <c r="V726" s="751">
        <v>2019</v>
      </c>
      <c r="W726" s="222"/>
      <c r="X726" s="186"/>
      <c r="Y726" s="178" t="str">
        <f t="shared" si="36"/>
        <v/>
      </c>
      <c r="Z726" s="178" t="str">
        <f t="shared" si="37"/>
        <v/>
      </c>
      <c r="AA726" s="44"/>
      <c r="AB726" s="65"/>
    </row>
    <row r="727" spans="1:28" hidden="1">
      <c r="A727" s="751">
        <v>50351</v>
      </c>
      <c r="B727" s="752" t="s">
        <v>35</v>
      </c>
      <c r="C727" s="751" t="s">
        <v>2960</v>
      </c>
      <c r="D727" s="752" t="s">
        <v>918</v>
      </c>
      <c r="E727" s="752" t="s">
        <v>919</v>
      </c>
      <c r="F727" s="751">
        <v>24793</v>
      </c>
      <c r="G727" s="752" t="s">
        <v>98</v>
      </c>
      <c r="H727" s="752" t="s">
        <v>1245</v>
      </c>
      <c r="I727" s="752" t="s">
        <v>60</v>
      </c>
      <c r="J727" s="751">
        <v>22</v>
      </c>
      <c r="K727" s="751">
        <v>2</v>
      </c>
      <c r="L727" s="752" t="s">
        <v>54</v>
      </c>
      <c r="M727" s="752" t="s">
        <v>37</v>
      </c>
      <c r="N727" s="752" t="s">
        <v>38</v>
      </c>
      <c r="O727" s="752" t="s">
        <v>39</v>
      </c>
      <c r="P727" s="752" t="s">
        <v>1238</v>
      </c>
      <c r="Q727" s="753">
        <v>0</v>
      </c>
      <c r="R727" s="753">
        <v>0</v>
      </c>
      <c r="S727" s="753">
        <v>187733</v>
      </c>
      <c r="T727" s="753">
        <v>187733</v>
      </c>
      <c r="U727" s="753">
        <v>21084</v>
      </c>
      <c r="V727" s="751">
        <v>2019</v>
      </c>
      <c r="W727" s="222"/>
      <c r="X727" s="186"/>
      <c r="Y727" s="178" t="str">
        <f t="shared" si="36"/>
        <v/>
      </c>
      <c r="Z727" s="178" t="str">
        <f t="shared" si="37"/>
        <v/>
      </c>
      <c r="AA727" s="44"/>
      <c r="AB727" s="65"/>
    </row>
    <row r="728" spans="1:28" hidden="1">
      <c r="A728" s="751">
        <v>50353</v>
      </c>
      <c r="B728" s="752" t="s">
        <v>35</v>
      </c>
      <c r="C728" s="751" t="s">
        <v>2960</v>
      </c>
      <c r="D728" s="752" t="s">
        <v>920</v>
      </c>
      <c r="E728" s="752" t="s">
        <v>919</v>
      </c>
      <c r="F728" s="751">
        <v>24793</v>
      </c>
      <c r="G728" s="752" t="s">
        <v>98</v>
      </c>
      <c r="H728" s="752" t="s">
        <v>1245</v>
      </c>
      <c r="I728" s="752" t="s">
        <v>60</v>
      </c>
      <c r="J728" s="751">
        <v>22</v>
      </c>
      <c r="K728" s="751">
        <v>2</v>
      </c>
      <c r="L728" s="752" t="s">
        <v>54</v>
      </c>
      <c r="M728" s="752" t="s">
        <v>37</v>
      </c>
      <c r="N728" s="752" t="s">
        <v>38</v>
      </c>
      <c r="O728" s="752" t="s">
        <v>39</v>
      </c>
      <c r="P728" s="752" t="s">
        <v>1238</v>
      </c>
      <c r="Q728" s="753">
        <v>0</v>
      </c>
      <c r="R728" s="753">
        <v>0</v>
      </c>
      <c r="S728" s="753">
        <v>169265</v>
      </c>
      <c r="T728" s="753">
        <v>169265</v>
      </c>
      <c r="U728" s="753">
        <v>19010</v>
      </c>
      <c r="V728" s="751">
        <v>2019</v>
      </c>
      <c r="W728" s="222"/>
      <c r="X728" s="186"/>
      <c r="Y728" s="178" t="str">
        <f t="shared" si="36"/>
        <v/>
      </c>
      <c r="Z728" s="178" t="str">
        <f t="shared" si="37"/>
        <v/>
      </c>
      <c r="AA728" s="44"/>
      <c r="AB728" s="65"/>
    </row>
    <row r="729" spans="1:28" hidden="1">
      <c r="A729" s="751">
        <v>50354</v>
      </c>
      <c r="B729" s="752" t="s">
        <v>35</v>
      </c>
      <c r="C729" s="751" t="s">
        <v>2960</v>
      </c>
      <c r="D729" s="752" t="s">
        <v>921</v>
      </c>
      <c r="E729" s="752" t="s">
        <v>1159</v>
      </c>
      <c r="F729" s="751">
        <v>57280</v>
      </c>
      <c r="G729" s="752" t="s">
        <v>59</v>
      </c>
      <c r="H729" s="752" t="s">
        <v>1244</v>
      </c>
      <c r="I729" s="752" t="s">
        <v>60</v>
      </c>
      <c r="J729" s="751">
        <v>22</v>
      </c>
      <c r="K729" s="751">
        <v>2</v>
      </c>
      <c r="L729" s="752" t="s">
        <v>54</v>
      </c>
      <c r="M729" s="752" t="s">
        <v>37</v>
      </c>
      <c r="N729" s="752" t="s">
        <v>38</v>
      </c>
      <c r="O729" s="752" t="s">
        <v>39</v>
      </c>
      <c r="P729" s="752" t="s">
        <v>1238</v>
      </c>
      <c r="Q729" s="753">
        <v>0</v>
      </c>
      <c r="R729" s="753">
        <v>0</v>
      </c>
      <c r="S729" s="753">
        <v>59281</v>
      </c>
      <c r="T729" s="753">
        <v>59281</v>
      </c>
      <c r="U729" s="753">
        <v>6658</v>
      </c>
      <c r="V729" s="751">
        <v>2019</v>
      </c>
      <c r="W729" s="222"/>
      <c r="X729" s="186"/>
      <c r="Y729" s="178" t="str">
        <f t="shared" si="36"/>
        <v/>
      </c>
      <c r="Z729" s="178" t="str">
        <f t="shared" si="37"/>
        <v/>
      </c>
      <c r="AA729" s="44"/>
      <c r="AB729" s="65"/>
    </row>
    <row r="730" spans="1:28" hidden="1">
      <c r="A730" s="751">
        <v>50365</v>
      </c>
      <c r="B730" s="752" t="s">
        <v>35</v>
      </c>
      <c r="C730" s="751" t="s">
        <v>2960</v>
      </c>
      <c r="D730" s="752" t="s">
        <v>922</v>
      </c>
      <c r="E730" s="752" t="s">
        <v>1113</v>
      </c>
      <c r="F730" s="751">
        <v>56889</v>
      </c>
      <c r="G730" s="752" t="s">
        <v>136</v>
      </c>
      <c r="H730" s="752" t="s">
        <v>1245</v>
      </c>
      <c r="I730" s="752" t="s">
        <v>60</v>
      </c>
      <c r="J730" s="751">
        <v>22</v>
      </c>
      <c r="K730" s="751">
        <v>2</v>
      </c>
      <c r="L730" s="752" t="s">
        <v>54</v>
      </c>
      <c r="M730" s="752" t="s">
        <v>53</v>
      </c>
      <c r="N730" s="752" t="s">
        <v>65</v>
      </c>
      <c r="O730" s="752" t="s">
        <v>66</v>
      </c>
      <c r="P730" s="752" t="s">
        <v>1091</v>
      </c>
      <c r="Q730" s="753">
        <v>8736</v>
      </c>
      <c r="R730" s="753">
        <v>8736</v>
      </c>
      <c r="S730" s="753">
        <v>4131</v>
      </c>
      <c r="T730" s="753">
        <v>4131</v>
      </c>
      <c r="U730" s="753">
        <v>6</v>
      </c>
      <c r="V730" s="751">
        <v>2019</v>
      </c>
      <c r="W730" s="222"/>
      <c r="X730" s="186"/>
      <c r="Y730" s="178" t="str">
        <f t="shared" si="36"/>
        <v/>
      </c>
      <c r="Z730" s="178" t="str">
        <f t="shared" si="37"/>
        <v/>
      </c>
      <c r="AA730" s="44"/>
      <c r="AB730" s="65"/>
    </row>
    <row r="731" spans="1:28" ht="25" hidden="1">
      <c r="A731" s="751">
        <v>50368</v>
      </c>
      <c r="B731" s="752" t="s">
        <v>56</v>
      </c>
      <c r="C731" s="751" t="s">
        <v>2960</v>
      </c>
      <c r="D731" s="752" t="s">
        <v>432</v>
      </c>
      <c r="E731" s="752" t="s">
        <v>433</v>
      </c>
      <c r="F731" s="751">
        <v>21508</v>
      </c>
      <c r="G731" s="752" t="s">
        <v>59</v>
      </c>
      <c r="H731" s="752" t="s">
        <v>1244</v>
      </c>
      <c r="I731" s="752" t="s">
        <v>60</v>
      </c>
      <c r="J731" s="751">
        <v>611</v>
      </c>
      <c r="K731" s="751">
        <v>5</v>
      </c>
      <c r="L731" s="752" t="s">
        <v>423</v>
      </c>
      <c r="M731" s="752" t="s">
        <v>40</v>
      </c>
      <c r="N731" s="752" t="s">
        <v>48</v>
      </c>
      <c r="O731" s="752" t="s">
        <v>48</v>
      </c>
      <c r="P731" s="752" t="s">
        <v>49</v>
      </c>
      <c r="Q731" s="753">
        <v>274</v>
      </c>
      <c r="R731" s="753">
        <v>17</v>
      </c>
      <c r="S731" s="753">
        <v>1564</v>
      </c>
      <c r="T731" s="753">
        <v>96</v>
      </c>
      <c r="U731" s="753">
        <v>21.26</v>
      </c>
      <c r="V731" s="751">
        <v>2019</v>
      </c>
      <c r="W731" s="222"/>
      <c r="X731" s="186"/>
      <c r="Y731" s="178" t="str">
        <f t="shared" si="36"/>
        <v/>
      </c>
      <c r="Z731" s="178" t="str">
        <f t="shared" si="37"/>
        <v/>
      </c>
      <c r="AA731" s="44"/>
      <c r="AB731" s="65"/>
    </row>
    <row r="732" spans="1:28" ht="25" hidden="1">
      <c r="A732" s="751">
        <v>50368</v>
      </c>
      <c r="B732" s="752" t="s">
        <v>56</v>
      </c>
      <c r="C732" s="751" t="s">
        <v>2960</v>
      </c>
      <c r="D732" s="752" t="s">
        <v>432</v>
      </c>
      <c r="E732" s="752" t="s">
        <v>433</v>
      </c>
      <c r="F732" s="751">
        <v>21508</v>
      </c>
      <c r="G732" s="752" t="s">
        <v>59</v>
      </c>
      <c r="H732" s="752" t="s">
        <v>1244</v>
      </c>
      <c r="I732" s="752" t="s">
        <v>60</v>
      </c>
      <c r="J732" s="751">
        <v>611</v>
      </c>
      <c r="K732" s="751">
        <v>5</v>
      </c>
      <c r="L732" s="752" t="s">
        <v>423</v>
      </c>
      <c r="M732" s="752" t="s">
        <v>40</v>
      </c>
      <c r="N732" s="752" t="s">
        <v>41</v>
      </c>
      <c r="O732" s="752" t="s">
        <v>41</v>
      </c>
      <c r="P732" s="752" t="s">
        <v>1091</v>
      </c>
      <c r="Q732" s="753">
        <v>354274</v>
      </c>
      <c r="R732" s="753">
        <v>115375</v>
      </c>
      <c r="S732" s="753">
        <v>364901</v>
      </c>
      <c r="T732" s="753">
        <v>118837</v>
      </c>
      <c r="U732" s="753">
        <v>26121.74</v>
      </c>
      <c r="V732" s="751">
        <v>2019</v>
      </c>
      <c r="W732" s="222"/>
      <c r="X732" s="186" t="str">
        <f>IF(OR(K732&gt;3,T732=0,NOT(U732&gt;0)),"",T732/U732)</f>
        <v/>
      </c>
      <c r="Y732" s="178" t="str">
        <f t="shared" si="36"/>
        <v/>
      </c>
      <c r="Z732" s="178" t="str">
        <f t="shared" si="37"/>
        <v/>
      </c>
      <c r="AA732" s="44"/>
      <c r="AB732" s="65"/>
    </row>
    <row r="733" spans="1:28" ht="25" hidden="1">
      <c r="A733" s="751">
        <v>50368</v>
      </c>
      <c r="B733" s="752" t="s">
        <v>56</v>
      </c>
      <c r="C733" s="751" t="s">
        <v>2960</v>
      </c>
      <c r="D733" s="752" t="s">
        <v>432</v>
      </c>
      <c r="E733" s="752" t="s">
        <v>433</v>
      </c>
      <c r="F733" s="751">
        <v>21508</v>
      </c>
      <c r="G733" s="752" t="s">
        <v>59</v>
      </c>
      <c r="H733" s="752" t="s">
        <v>1244</v>
      </c>
      <c r="I733" s="752" t="s">
        <v>60</v>
      </c>
      <c r="J733" s="751">
        <v>611</v>
      </c>
      <c r="K733" s="751">
        <v>5</v>
      </c>
      <c r="L733" s="752" t="s">
        <v>423</v>
      </c>
      <c r="M733" s="752" t="s">
        <v>43</v>
      </c>
      <c r="N733" s="752" t="s">
        <v>45</v>
      </c>
      <c r="O733" s="752" t="s">
        <v>46</v>
      </c>
      <c r="P733" s="752" t="s">
        <v>47</v>
      </c>
      <c r="Q733" s="753">
        <v>0</v>
      </c>
      <c r="R733" s="753">
        <v>0</v>
      </c>
      <c r="S733" s="753">
        <v>0</v>
      </c>
      <c r="T733" s="753">
        <v>0</v>
      </c>
      <c r="U733" s="753">
        <v>0</v>
      </c>
      <c r="V733" s="751">
        <v>2019</v>
      </c>
      <c r="W733" s="222"/>
      <c r="X733" s="186" t="str">
        <f>IF(OR(K733&gt;3,T733=0,NOT(U733&gt;0)),"",T733/U733)</f>
        <v/>
      </c>
      <c r="Y733" s="178" t="str">
        <f t="shared" si="36"/>
        <v/>
      </c>
      <c r="Z733" s="178" t="str">
        <f t="shared" si="37"/>
        <v/>
      </c>
      <c r="AA733" s="44"/>
      <c r="AB733" s="65"/>
    </row>
    <row r="734" spans="1:28" ht="25" hidden="1">
      <c r="A734" s="751">
        <v>50368</v>
      </c>
      <c r="B734" s="752" t="s">
        <v>56</v>
      </c>
      <c r="C734" s="751" t="s">
        <v>2960</v>
      </c>
      <c r="D734" s="752" t="s">
        <v>432</v>
      </c>
      <c r="E734" s="752" t="s">
        <v>433</v>
      </c>
      <c r="F734" s="751">
        <v>21508</v>
      </c>
      <c r="G734" s="752" t="s">
        <v>59</v>
      </c>
      <c r="H734" s="752" t="s">
        <v>1244</v>
      </c>
      <c r="I734" s="752" t="s">
        <v>60</v>
      </c>
      <c r="J734" s="751">
        <v>611</v>
      </c>
      <c r="K734" s="751">
        <v>5</v>
      </c>
      <c r="L734" s="752" t="s">
        <v>423</v>
      </c>
      <c r="M734" s="752" t="s">
        <v>43</v>
      </c>
      <c r="N734" s="752" t="s">
        <v>48</v>
      </c>
      <c r="O734" s="752" t="s">
        <v>48</v>
      </c>
      <c r="P734" s="752" t="s">
        <v>49</v>
      </c>
      <c r="Q734" s="753">
        <v>128</v>
      </c>
      <c r="R734" s="753">
        <v>51</v>
      </c>
      <c r="S734" s="753">
        <v>730</v>
      </c>
      <c r="T734" s="753">
        <v>296</v>
      </c>
      <c r="U734" s="753">
        <v>64.423000000000002</v>
      </c>
      <c r="V734" s="751">
        <v>2019</v>
      </c>
      <c r="W734" s="222"/>
      <c r="X734" s="186" t="str">
        <f>IF(OR(K734&gt;3,T734=0,NOT(U734&gt;0)),"",T734/U734)</f>
        <v/>
      </c>
      <c r="Y734" s="178" t="str">
        <f t="shared" si="36"/>
        <v/>
      </c>
      <c r="Z734" s="178" t="str">
        <f t="shared" si="37"/>
        <v/>
      </c>
      <c r="AA734" s="44"/>
      <c r="AB734" s="65"/>
    </row>
    <row r="735" spans="1:28" ht="25" hidden="1">
      <c r="A735" s="751">
        <v>50368</v>
      </c>
      <c r="B735" s="752" t="s">
        <v>56</v>
      </c>
      <c r="C735" s="751" t="s">
        <v>2960</v>
      </c>
      <c r="D735" s="752" t="s">
        <v>432</v>
      </c>
      <c r="E735" s="752" t="s">
        <v>433</v>
      </c>
      <c r="F735" s="751">
        <v>21508</v>
      </c>
      <c r="G735" s="752" t="s">
        <v>59</v>
      </c>
      <c r="H735" s="752" t="s">
        <v>1244</v>
      </c>
      <c r="I735" s="752" t="s">
        <v>60</v>
      </c>
      <c r="J735" s="751">
        <v>611</v>
      </c>
      <c r="K735" s="751">
        <v>5</v>
      </c>
      <c r="L735" s="752" t="s">
        <v>423</v>
      </c>
      <c r="M735" s="752" t="s">
        <v>43</v>
      </c>
      <c r="N735" s="752" t="s">
        <v>41</v>
      </c>
      <c r="O735" s="752" t="s">
        <v>41</v>
      </c>
      <c r="P735" s="752" t="s">
        <v>1091</v>
      </c>
      <c r="Q735" s="753">
        <v>2379155</v>
      </c>
      <c r="R735" s="753">
        <v>974401</v>
      </c>
      <c r="S735" s="753">
        <v>2450529</v>
      </c>
      <c r="T735" s="753">
        <v>1003634</v>
      </c>
      <c r="U735" s="753">
        <v>216379.58</v>
      </c>
      <c r="V735" s="751">
        <v>2019</v>
      </c>
      <c r="W735" s="222"/>
      <c r="X735" s="186"/>
      <c r="Y735" s="178" t="str">
        <f t="shared" si="36"/>
        <v/>
      </c>
      <c r="Z735" s="178" t="str">
        <f t="shared" si="37"/>
        <v/>
      </c>
      <c r="AA735" s="44"/>
      <c r="AB735" s="65"/>
    </row>
    <row r="736" spans="1:28" ht="25" hidden="1">
      <c r="A736" s="751">
        <v>50368</v>
      </c>
      <c r="B736" s="752" t="s">
        <v>56</v>
      </c>
      <c r="C736" s="751" t="s">
        <v>2960</v>
      </c>
      <c r="D736" s="752" t="s">
        <v>432</v>
      </c>
      <c r="E736" s="752" t="s">
        <v>433</v>
      </c>
      <c r="F736" s="751">
        <v>21508</v>
      </c>
      <c r="G736" s="752" t="s">
        <v>59</v>
      </c>
      <c r="H736" s="752" t="s">
        <v>1244</v>
      </c>
      <c r="I736" s="752" t="s">
        <v>60</v>
      </c>
      <c r="J736" s="751">
        <v>611</v>
      </c>
      <c r="K736" s="751">
        <v>5</v>
      </c>
      <c r="L736" s="752" t="s">
        <v>423</v>
      </c>
      <c r="M736" s="752" t="s">
        <v>43</v>
      </c>
      <c r="N736" s="752" t="s">
        <v>63</v>
      </c>
      <c r="O736" s="752" t="s">
        <v>63</v>
      </c>
      <c r="P736" s="752" t="s">
        <v>49</v>
      </c>
      <c r="Q736" s="753">
        <v>0</v>
      </c>
      <c r="R736" s="753">
        <v>0</v>
      </c>
      <c r="S736" s="753">
        <v>0</v>
      </c>
      <c r="T736" s="753">
        <v>0</v>
      </c>
      <c r="U736" s="753">
        <v>0</v>
      </c>
      <c r="V736" s="751">
        <v>2019</v>
      </c>
      <c r="W736" s="222"/>
      <c r="X736" s="186" t="str">
        <f>IF(OR(K736&gt;3,T736=0,NOT(U736&gt;0)),"",T736/U736)</f>
        <v/>
      </c>
      <c r="Y736" s="178" t="str">
        <f t="shared" si="36"/>
        <v/>
      </c>
      <c r="Z736" s="178" t="str">
        <f t="shared" si="37"/>
        <v/>
      </c>
      <c r="AA736" s="44"/>
      <c r="AB736" s="65"/>
    </row>
    <row r="737" spans="1:28" ht="25" hidden="1">
      <c r="A737" s="751">
        <v>50368</v>
      </c>
      <c r="B737" s="752" t="s">
        <v>56</v>
      </c>
      <c r="C737" s="751" t="s">
        <v>2960</v>
      </c>
      <c r="D737" s="752" t="s">
        <v>432</v>
      </c>
      <c r="E737" s="752" t="s">
        <v>433</v>
      </c>
      <c r="F737" s="751">
        <v>21508</v>
      </c>
      <c r="G737" s="752" t="s">
        <v>59</v>
      </c>
      <c r="H737" s="752" t="s">
        <v>1244</v>
      </c>
      <c r="I737" s="752" t="s">
        <v>60</v>
      </c>
      <c r="J737" s="751">
        <v>611</v>
      </c>
      <c r="K737" s="751">
        <v>5</v>
      </c>
      <c r="L737" s="752" t="s">
        <v>423</v>
      </c>
      <c r="M737" s="752" t="s">
        <v>53</v>
      </c>
      <c r="N737" s="752" t="s">
        <v>48</v>
      </c>
      <c r="O737" s="752" t="s">
        <v>48</v>
      </c>
      <c r="P737" s="752" t="s">
        <v>49</v>
      </c>
      <c r="Q737" s="753">
        <v>73</v>
      </c>
      <c r="R737" s="753">
        <v>29</v>
      </c>
      <c r="S737" s="753">
        <v>417</v>
      </c>
      <c r="T737" s="753">
        <v>165</v>
      </c>
      <c r="U737" s="753">
        <v>37</v>
      </c>
      <c r="V737" s="751">
        <v>2019</v>
      </c>
      <c r="W737" s="222"/>
      <c r="X737" s="186" t="str">
        <f>IF(OR(K737&gt;3,T737=0,NOT(U737&gt;0)),"",T737/U737)</f>
        <v/>
      </c>
      <c r="Y737" s="178" t="str">
        <f t="shared" si="36"/>
        <v/>
      </c>
      <c r="Z737" s="178" t="str">
        <f t="shared" si="37"/>
        <v/>
      </c>
      <c r="AA737" s="44"/>
      <c r="AB737" s="65"/>
    </row>
    <row r="738" spans="1:28" hidden="1">
      <c r="A738" s="751">
        <v>50384</v>
      </c>
      <c r="B738" s="752" t="s">
        <v>35</v>
      </c>
      <c r="C738" s="751" t="s">
        <v>2960</v>
      </c>
      <c r="D738" s="752" t="s">
        <v>923</v>
      </c>
      <c r="E738" s="752" t="s">
        <v>1159</v>
      </c>
      <c r="F738" s="751">
        <v>57280</v>
      </c>
      <c r="G738" s="752" t="s">
        <v>98</v>
      </c>
      <c r="H738" s="752" t="s">
        <v>1245</v>
      </c>
      <c r="I738" s="752" t="s">
        <v>60</v>
      </c>
      <c r="J738" s="751">
        <v>22</v>
      </c>
      <c r="K738" s="751">
        <v>2</v>
      </c>
      <c r="L738" s="752" t="s">
        <v>54</v>
      </c>
      <c r="M738" s="752" t="s">
        <v>37</v>
      </c>
      <c r="N738" s="752" t="s">
        <v>38</v>
      </c>
      <c r="O738" s="752" t="s">
        <v>39</v>
      </c>
      <c r="P738" s="752" t="s">
        <v>1238</v>
      </c>
      <c r="Q738" s="753">
        <v>0</v>
      </c>
      <c r="R738" s="753">
        <v>0</v>
      </c>
      <c r="S738" s="753">
        <v>91524</v>
      </c>
      <c r="T738" s="753">
        <v>91524</v>
      </c>
      <c r="U738" s="753">
        <v>10279</v>
      </c>
      <c r="V738" s="751">
        <v>2019</v>
      </c>
      <c r="W738" s="222"/>
      <c r="X738" s="186">
        <f>IF(OR(K738&gt;3,T738=0,NOT(U738&gt;0)),"",T738/U738)</f>
        <v>8.9039789862827128</v>
      </c>
      <c r="Y738" s="178" t="str">
        <f t="shared" si="36"/>
        <v/>
      </c>
      <c r="Z738" s="178" t="str">
        <f t="shared" si="37"/>
        <v/>
      </c>
      <c r="AA738" s="44"/>
      <c r="AB738" s="65"/>
    </row>
    <row r="739" spans="1:28" ht="25" hidden="1">
      <c r="A739" s="751">
        <v>50406</v>
      </c>
      <c r="B739" s="752" t="s">
        <v>56</v>
      </c>
      <c r="C739" s="751" t="s">
        <v>2960</v>
      </c>
      <c r="D739" s="752" t="s">
        <v>434</v>
      </c>
      <c r="E739" s="752" t="s">
        <v>435</v>
      </c>
      <c r="F739" s="751">
        <v>16190</v>
      </c>
      <c r="G739" s="752" t="s">
        <v>92</v>
      </c>
      <c r="H739" s="752" t="s">
        <v>1245</v>
      </c>
      <c r="I739" s="752" t="s">
        <v>60</v>
      </c>
      <c r="J739" s="751">
        <v>322122</v>
      </c>
      <c r="K739" s="751">
        <v>7</v>
      </c>
      <c r="L739" s="752" t="s">
        <v>419</v>
      </c>
      <c r="M739" s="752" t="s">
        <v>44</v>
      </c>
      <c r="N739" s="752" t="s">
        <v>159</v>
      </c>
      <c r="O739" s="752" t="s">
        <v>72</v>
      </c>
      <c r="P739" s="752" t="s">
        <v>47</v>
      </c>
      <c r="Q739" s="753">
        <v>892861</v>
      </c>
      <c r="R739" s="753">
        <v>116851</v>
      </c>
      <c r="S739" s="753">
        <v>10232188</v>
      </c>
      <c r="T739" s="753">
        <v>1339138</v>
      </c>
      <c r="U739" s="753">
        <v>279823.28999999998</v>
      </c>
      <c r="V739" s="751">
        <v>2019</v>
      </c>
      <c r="W739" s="222"/>
      <c r="X739" s="186" t="str">
        <f>IF(OR(K739&gt;3,T739=0,NOT(U739&gt;0)),"",T739/U739)</f>
        <v/>
      </c>
      <c r="Y739" s="178" t="str">
        <f t="shared" si="36"/>
        <v/>
      </c>
      <c r="Z739" s="178" t="str">
        <f t="shared" si="37"/>
        <v/>
      </c>
      <c r="AA739" s="44"/>
      <c r="AB739" s="65"/>
    </row>
    <row r="740" spans="1:28" ht="25" hidden="1">
      <c r="A740" s="751">
        <v>50406</v>
      </c>
      <c r="B740" s="752" t="s">
        <v>56</v>
      </c>
      <c r="C740" s="751" t="s">
        <v>2960</v>
      </c>
      <c r="D740" s="752" t="s">
        <v>434</v>
      </c>
      <c r="E740" s="752" t="s">
        <v>435</v>
      </c>
      <c r="F740" s="751">
        <v>16190</v>
      </c>
      <c r="G740" s="752" t="s">
        <v>92</v>
      </c>
      <c r="H740" s="752" t="s">
        <v>1245</v>
      </c>
      <c r="I740" s="752" t="s">
        <v>60</v>
      </c>
      <c r="J740" s="751">
        <v>322122</v>
      </c>
      <c r="K740" s="751">
        <v>7</v>
      </c>
      <c r="L740" s="752" t="s">
        <v>419</v>
      </c>
      <c r="M740" s="752" t="s">
        <v>44</v>
      </c>
      <c r="N740" s="752" t="s">
        <v>48</v>
      </c>
      <c r="O740" s="752" t="s">
        <v>48</v>
      </c>
      <c r="P740" s="752" t="s">
        <v>49</v>
      </c>
      <c r="Q740" s="753">
        <v>986</v>
      </c>
      <c r="R740" s="753">
        <v>128</v>
      </c>
      <c r="S740" s="753">
        <v>5769</v>
      </c>
      <c r="T740" s="753">
        <v>748</v>
      </c>
      <c r="U740" s="753">
        <v>156.328</v>
      </c>
      <c r="V740" s="751">
        <v>2019</v>
      </c>
      <c r="W740" s="222"/>
      <c r="X740" s="186"/>
      <c r="Y740" s="178" t="str">
        <f t="shared" si="36"/>
        <v/>
      </c>
      <c r="Z740" s="178" t="str">
        <f t="shared" si="37"/>
        <v/>
      </c>
      <c r="AA740" s="44"/>
      <c r="AB740" s="65"/>
    </row>
    <row r="741" spans="1:28" ht="25" hidden="1">
      <c r="A741" s="751">
        <v>50406</v>
      </c>
      <c r="B741" s="752" t="s">
        <v>56</v>
      </c>
      <c r="C741" s="751" t="s">
        <v>2960</v>
      </c>
      <c r="D741" s="752" t="s">
        <v>434</v>
      </c>
      <c r="E741" s="752" t="s">
        <v>435</v>
      </c>
      <c r="F741" s="751">
        <v>16190</v>
      </c>
      <c r="G741" s="752" t="s">
        <v>92</v>
      </c>
      <c r="H741" s="752" t="s">
        <v>1245</v>
      </c>
      <c r="I741" s="752" t="s">
        <v>60</v>
      </c>
      <c r="J741" s="751">
        <v>322122</v>
      </c>
      <c r="K741" s="751">
        <v>7</v>
      </c>
      <c r="L741" s="752" t="s">
        <v>419</v>
      </c>
      <c r="M741" s="752" t="s">
        <v>44</v>
      </c>
      <c r="N741" s="752" t="s">
        <v>41</v>
      </c>
      <c r="O741" s="752" t="s">
        <v>41</v>
      </c>
      <c r="P741" s="752" t="s">
        <v>1091</v>
      </c>
      <c r="Q741" s="753">
        <v>1115538</v>
      </c>
      <c r="R741" s="753">
        <v>144944</v>
      </c>
      <c r="S741" s="753">
        <v>1149791</v>
      </c>
      <c r="T741" s="753">
        <v>149403</v>
      </c>
      <c r="U741" s="753">
        <v>31219.319</v>
      </c>
      <c r="V741" s="751">
        <v>2019</v>
      </c>
      <c r="W741" s="222"/>
      <c r="X741" s="186" t="str">
        <f>IF(OR(K741&gt;3,T741=0,NOT(U741&gt;0)),"",T741/U741)</f>
        <v/>
      </c>
      <c r="Y741" s="178" t="str">
        <f t="shared" si="36"/>
        <v/>
      </c>
      <c r="Z741" s="178" t="str">
        <f t="shared" si="37"/>
        <v/>
      </c>
      <c r="AA741" s="44"/>
      <c r="AB741" s="65"/>
    </row>
    <row r="742" spans="1:28" ht="25" hidden="1">
      <c r="A742" s="751">
        <v>50406</v>
      </c>
      <c r="B742" s="752" t="s">
        <v>56</v>
      </c>
      <c r="C742" s="751" t="s">
        <v>2960</v>
      </c>
      <c r="D742" s="752" t="s">
        <v>434</v>
      </c>
      <c r="E742" s="752" t="s">
        <v>435</v>
      </c>
      <c r="F742" s="751">
        <v>16190</v>
      </c>
      <c r="G742" s="752" t="s">
        <v>92</v>
      </c>
      <c r="H742" s="752" t="s">
        <v>1245</v>
      </c>
      <c r="I742" s="752" t="s">
        <v>60</v>
      </c>
      <c r="J742" s="751">
        <v>322122</v>
      </c>
      <c r="K742" s="751">
        <v>7</v>
      </c>
      <c r="L742" s="752" t="s">
        <v>419</v>
      </c>
      <c r="M742" s="752" t="s">
        <v>44</v>
      </c>
      <c r="N742" s="752" t="s">
        <v>436</v>
      </c>
      <c r="O742" s="752" t="s">
        <v>51</v>
      </c>
      <c r="P742" s="752" t="s">
        <v>49</v>
      </c>
      <c r="Q742" s="753">
        <v>10349</v>
      </c>
      <c r="R742" s="753">
        <v>1353</v>
      </c>
      <c r="S742" s="753">
        <v>19475</v>
      </c>
      <c r="T742" s="753">
        <v>2546</v>
      </c>
      <c r="U742" s="753">
        <v>531.86</v>
      </c>
      <c r="V742" s="751">
        <v>2019</v>
      </c>
      <c r="W742" s="222"/>
      <c r="X742" s="186" t="str">
        <f>IF(OR(K742&gt;3,T742=0,NOT(U742&gt;0)),"",T742/U742)</f>
        <v/>
      </c>
      <c r="Y742" s="178" t="str">
        <f t="shared" si="36"/>
        <v/>
      </c>
      <c r="Z742" s="178" t="str">
        <f t="shared" si="37"/>
        <v/>
      </c>
      <c r="AA742" s="44"/>
      <c r="AB742" s="65"/>
    </row>
    <row r="743" spans="1:28" ht="25" hidden="1">
      <c r="A743" s="751">
        <v>50406</v>
      </c>
      <c r="B743" s="752" t="s">
        <v>56</v>
      </c>
      <c r="C743" s="751" t="s">
        <v>2960</v>
      </c>
      <c r="D743" s="752" t="s">
        <v>434</v>
      </c>
      <c r="E743" s="752" t="s">
        <v>435</v>
      </c>
      <c r="F743" s="751">
        <v>16190</v>
      </c>
      <c r="G743" s="752" t="s">
        <v>92</v>
      </c>
      <c r="H743" s="752" t="s">
        <v>1245</v>
      </c>
      <c r="I743" s="752" t="s">
        <v>60</v>
      </c>
      <c r="J743" s="751">
        <v>322122</v>
      </c>
      <c r="K743" s="751">
        <v>7</v>
      </c>
      <c r="L743" s="752" t="s">
        <v>419</v>
      </c>
      <c r="M743" s="752" t="s">
        <v>44</v>
      </c>
      <c r="N743" s="752" t="s">
        <v>63</v>
      </c>
      <c r="O743" s="752" t="s">
        <v>63</v>
      </c>
      <c r="P743" s="752" t="s">
        <v>49</v>
      </c>
      <c r="Q743" s="753">
        <v>52014</v>
      </c>
      <c r="R743" s="753">
        <v>6787</v>
      </c>
      <c r="S743" s="753">
        <v>327162</v>
      </c>
      <c r="T743" s="753">
        <v>42681</v>
      </c>
      <c r="U743" s="753">
        <v>8917.7469999999994</v>
      </c>
      <c r="V743" s="751">
        <v>2019</v>
      </c>
      <c r="W743" s="222"/>
      <c r="X743" s="186" t="str">
        <f>IF(OR(K743&gt;3,T743=0,NOT(U743&gt;0)),"",T743/U743)</f>
        <v/>
      </c>
      <c r="Y743" s="178" t="str">
        <f t="shared" si="36"/>
        <v/>
      </c>
      <c r="Z743" s="178" t="str">
        <f t="shared" si="37"/>
        <v/>
      </c>
      <c r="AA743" s="44"/>
      <c r="AB743" s="65"/>
    </row>
    <row r="744" spans="1:28" ht="25" hidden="1">
      <c r="A744" s="751">
        <v>50406</v>
      </c>
      <c r="B744" s="752" t="s">
        <v>56</v>
      </c>
      <c r="C744" s="751" t="s">
        <v>2960</v>
      </c>
      <c r="D744" s="752" t="s">
        <v>434</v>
      </c>
      <c r="E744" s="752" t="s">
        <v>435</v>
      </c>
      <c r="F744" s="751">
        <v>16190</v>
      </c>
      <c r="G744" s="752" t="s">
        <v>92</v>
      </c>
      <c r="H744" s="752" t="s">
        <v>1245</v>
      </c>
      <c r="I744" s="752" t="s">
        <v>60</v>
      </c>
      <c r="J744" s="751">
        <v>322122</v>
      </c>
      <c r="K744" s="751">
        <v>7</v>
      </c>
      <c r="L744" s="752" t="s">
        <v>419</v>
      </c>
      <c r="M744" s="752" t="s">
        <v>44</v>
      </c>
      <c r="N744" s="752" t="s">
        <v>160</v>
      </c>
      <c r="O744" s="752" t="s">
        <v>51</v>
      </c>
      <c r="P744" s="752" t="s">
        <v>47</v>
      </c>
      <c r="Q744" s="753">
        <v>54689</v>
      </c>
      <c r="R744" s="753">
        <v>7160</v>
      </c>
      <c r="S744" s="753">
        <v>240634</v>
      </c>
      <c r="T744" s="753">
        <v>31505</v>
      </c>
      <c r="U744" s="753">
        <v>6582.3509999999997</v>
      </c>
      <c r="V744" s="751">
        <v>2019</v>
      </c>
      <c r="W744" s="222"/>
      <c r="X744" s="186"/>
      <c r="Y744" s="178" t="str">
        <f t="shared" si="36"/>
        <v/>
      </c>
      <c r="Z744" s="178" t="str">
        <f t="shared" si="37"/>
        <v/>
      </c>
      <c r="AA744" s="44"/>
      <c r="AB744" s="65"/>
    </row>
    <row r="745" spans="1:28" ht="25" hidden="1">
      <c r="A745" s="751">
        <v>50406</v>
      </c>
      <c r="B745" s="752" t="s">
        <v>56</v>
      </c>
      <c r="C745" s="751" t="s">
        <v>2960</v>
      </c>
      <c r="D745" s="752" t="s">
        <v>434</v>
      </c>
      <c r="E745" s="752" t="s">
        <v>435</v>
      </c>
      <c r="F745" s="751">
        <v>16190</v>
      </c>
      <c r="G745" s="752" t="s">
        <v>92</v>
      </c>
      <c r="H745" s="752" t="s">
        <v>1245</v>
      </c>
      <c r="I745" s="752" t="s">
        <v>60</v>
      </c>
      <c r="J745" s="751">
        <v>322122</v>
      </c>
      <c r="K745" s="751">
        <v>7</v>
      </c>
      <c r="L745" s="752" t="s">
        <v>419</v>
      </c>
      <c r="M745" s="752" t="s">
        <v>44</v>
      </c>
      <c r="N745" s="752" t="s">
        <v>410</v>
      </c>
      <c r="O745" s="752" t="s">
        <v>84</v>
      </c>
      <c r="P745" s="752" t="s">
        <v>47</v>
      </c>
      <c r="Q745" s="753">
        <v>29325</v>
      </c>
      <c r="R745" s="753">
        <v>3840</v>
      </c>
      <c r="S745" s="753">
        <v>926989</v>
      </c>
      <c r="T745" s="753">
        <v>121373</v>
      </c>
      <c r="U745" s="753">
        <v>25361.883000000002</v>
      </c>
      <c r="V745" s="751">
        <v>2019</v>
      </c>
      <c r="W745" s="222"/>
      <c r="X745" s="186"/>
      <c r="Y745" s="178" t="str">
        <f t="shared" si="36"/>
        <v/>
      </c>
      <c r="Z745" s="178" t="str">
        <f t="shared" si="37"/>
        <v/>
      </c>
      <c r="AA745" s="44"/>
      <c r="AB745" s="65"/>
    </row>
    <row r="746" spans="1:28" ht="25" hidden="1">
      <c r="A746" s="751">
        <v>50406</v>
      </c>
      <c r="B746" s="752" t="s">
        <v>56</v>
      </c>
      <c r="C746" s="751" t="s">
        <v>2960</v>
      </c>
      <c r="D746" s="752" t="s">
        <v>434</v>
      </c>
      <c r="E746" s="752" t="s">
        <v>435</v>
      </c>
      <c r="F746" s="751">
        <v>16190</v>
      </c>
      <c r="G746" s="752" t="s">
        <v>92</v>
      </c>
      <c r="H746" s="752" t="s">
        <v>1245</v>
      </c>
      <c r="I746" s="752" t="s">
        <v>60</v>
      </c>
      <c r="J746" s="751">
        <v>322122</v>
      </c>
      <c r="K746" s="751">
        <v>7</v>
      </c>
      <c r="L746" s="752" t="s">
        <v>419</v>
      </c>
      <c r="M746" s="752" t="s">
        <v>44</v>
      </c>
      <c r="N746" s="752" t="s">
        <v>71</v>
      </c>
      <c r="O746" s="752" t="s">
        <v>72</v>
      </c>
      <c r="P746" s="752" t="s">
        <v>47</v>
      </c>
      <c r="Q746" s="753">
        <v>746455</v>
      </c>
      <c r="R746" s="753">
        <v>97585</v>
      </c>
      <c r="S746" s="753">
        <v>6556779</v>
      </c>
      <c r="T746" s="753">
        <v>857183</v>
      </c>
      <c r="U746" s="753">
        <v>179122.23</v>
      </c>
      <c r="V746" s="751">
        <v>2019</v>
      </c>
      <c r="W746" s="222"/>
      <c r="X746" s="186" t="str">
        <f>IF(OR(K746&gt;3,T746=0,NOT(U746&gt;0)),"",T746/U746)</f>
        <v/>
      </c>
      <c r="Y746" s="178" t="str">
        <f t="shared" si="36"/>
        <v/>
      </c>
      <c r="Z746" s="178" t="str">
        <f t="shared" si="37"/>
        <v/>
      </c>
      <c r="AA746" s="44"/>
      <c r="AB746" s="65"/>
    </row>
    <row r="747" spans="1:28" hidden="1">
      <c r="A747" s="751">
        <v>50414</v>
      </c>
      <c r="B747" s="752" t="s">
        <v>35</v>
      </c>
      <c r="C747" s="751" t="s">
        <v>2960</v>
      </c>
      <c r="D747" s="752" t="s">
        <v>924</v>
      </c>
      <c r="E747" s="752" t="s">
        <v>919</v>
      </c>
      <c r="F747" s="751">
        <v>24793</v>
      </c>
      <c r="G747" s="752" t="s">
        <v>98</v>
      </c>
      <c r="H747" s="752" t="s">
        <v>1245</v>
      </c>
      <c r="I747" s="752" t="s">
        <v>60</v>
      </c>
      <c r="J747" s="751">
        <v>22</v>
      </c>
      <c r="K747" s="751">
        <v>2</v>
      </c>
      <c r="L747" s="752" t="s">
        <v>54</v>
      </c>
      <c r="M747" s="752" t="s">
        <v>37</v>
      </c>
      <c r="N747" s="752" t="s">
        <v>38</v>
      </c>
      <c r="O747" s="752" t="s">
        <v>39</v>
      </c>
      <c r="P747" s="752" t="s">
        <v>1238</v>
      </c>
      <c r="Q747" s="753">
        <v>0</v>
      </c>
      <c r="R747" s="753">
        <v>0</v>
      </c>
      <c r="S747" s="753">
        <v>115879</v>
      </c>
      <c r="T747" s="753">
        <v>115879</v>
      </c>
      <c r="U747" s="753">
        <v>13014</v>
      </c>
      <c r="V747" s="751">
        <v>2019</v>
      </c>
      <c r="W747" s="222"/>
      <c r="X747" s="186">
        <f>IF(OR(K747&gt;3,T747=0,NOT(U747&gt;0)),"",T747/U747)</f>
        <v>8.9041801137236813</v>
      </c>
      <c r="Y747" s="86" t="str">
        <f t="shared" si="36"/>
        <v/>
      </c>
      <c r="Z747" s="86" t="str">
        <f t="shared" si="37"/>
        <v/>
      </c>
      <c r="AA747" s="44"/>
      <c r="AB747" s="65"/>
    </row>
    <row r="748" spans="1:28" ht="25" hidden="1">
      <c r="A748" s="751">
        <v>50416</v>
      </c>
      <c r="B748" s="752" t="s">
        <v>35</v>
      </c>
      <c r="C748" s="751" t="s">
        <v>2960</v>
      </c>
      <c r="D748" s="752" t="s">
        <v>925</v>
      </c>
      <c r="E748" s="752" t="s">
        <v>1936</v>
      </c>
      <c r="F748" s="751">
        <v>18436</v>
      </c>
      <c r="G748" s="752" t="s">
        <v>59</v>
      </c>
      <c r="H748" s="752" t="s">
        <v>1244</v>
      </c>
      <c r="I748" s="752" t="s">
        <v>60</v>
      </c>
      <c r="J748" s="751">
        <v>22</v>
      </c>
      <c r="K748" s="751">
        <v>2</v>
      </c>
      <c r="L748" s="752" t="s">
        <v>54</v>
      </c>
      <c r="M748" s="752" t="s">
        <v>37</v>
      </c>
      <c r="N748" s="752" t="s">
        <v>38</v>
      </c>
      <c r="O748" s="752" t="s">
        <v>39</v>
      </c>
      <c r="P748" s="752" t="s">
        <v>1238</v>
      </c>
      <c r="Q748" s="753">
        <v>0</v>
      </c>
      <c r="R748" s="753">
        <v>0</v>
      </c>
      <c r="S748" s="753">
        <v>54394</v>
      </c>
      <c r="T748" s="753">
        <v>54394</v>
      </c>
      <c r="U748" s="753">
        <v>6109</v>
      </c>
      <c r="V748" s="751">
        <v>2019</v>
      </c>
      <c r="W748" s="222"/>
      <c r="X748" s="186"/>
      <c r="Y748" s="86" t="str">
        <f t="shared" si="36"/>
        <v/>
      </c>
      <c r="Z748" s="86" t="str">
        <f t="shared" si="37"/>
        <v/>
      </c>
      <c r="AA748" s="44"/>
      <c r="AB748" s="65"/>
    </row>
    <row r="749" spans="1:28" ht="25" hidden="1">
      <c r="A749" s="751">
        <v>50427</v>
      </c>
      <c r="B749" s="752" t="s">
        <v>56</v>
      </c>
      <c r="C749" s="751" t="s">
        <v>2960</v>
      </c>
      <c r="D749" s="752" t="s">
        <v>926</v>
      </c>
      <c r="E749" s="752" t="s">
        <v>927</v>
      </c>
      <c r="F749" s="751">
        <v>13487</v>
      </c>
      <c r="G749" s="752" t="s">
        <v>59</v>
      </c>
      <c r="H749" s="752" t="s">
        <v>1244</v>
      </c>
      <c r="I749" s="752" t="s">
        <v>60</v>
      </c>
      <c r="J749" s="751">
        <v>712</v>
      </c>
      <c r="K749" s="751">
        <v>5</v>
      </c>
      <c r="L749" s="752" t="s">
        <v>423</v>
      </c>
      <c r="M749" s="752" t="s">
        <v>53</v>
      </c>
      <c r="N749" s="752" t="s">
        <v>48</v>
      </c>
      <c r="O749" s="752" t="s">
        <v>48</v>
      </c>
      <c r="P749" s="752" t="s">
        <v>49</v>
      </c>
      <c r="Q749" s="753">
        <v>0</v>
      </c>
      <c r="R749" s="753">
        <v>0</v>
      </c>
      <c r="S749" s="753">
        <v>0</v>
      </c>
      <c r="T749" s="753">
        <v>0</v>
      </c>
      <c r="U749" s="753">
        <v>0</v>
      </c>
      <c r="V749" s="751">
        <v>2019</v>
      </c>
      <c r="W749" s="222"/>
      <c r="X749" s="186"/>
      <c r="Y749" s="86" t="str">
        <f t="shared" si="36"/>
        <v/>
      </c>
      <c r="Z749" s="86" t="str">
        <f t="shared" si="37"/>
        <v/>
      </c>
      <c r="AA749" s="44"/>
      <c r="AB749" s="65"/>
    </row>
    <row r="750" spans="1:28" ht="25" hidden="1">
      <c r="A750" s="751">
        <v>50427</v>
      </c>
      <c r="B750" s="752" t="s">
        <v>56</v>
      </c>
      <c r="C750" s="751" t="s">
        <v>2960</v>
      </c>
      <c r="D750" s="752" t="s">
        <v>926</v>
      </c>
      <c r="E750" s="752" t="s">
        <v>927</v>
      </c>
      <c r="F750" s="751">
        <v>13487</v>
      </c>
      <c r="G750" s="752" t="s">
        <v>59</v>
      </c>
      <c r="H750" s="752" t="s">
        <v>1244</v>
      </c>
      <c r="I750" s="752" t="s">
        <v>60</v>
      </c>
      <c r="J750" s="751">
        <v>712</v>
      </c>
      <c r="K750" s="751">
        <v>5</v>
      </c>
      <c r="L750" s="752" t="s">
        <v>423</v>
      </c>
      <c r="M750" s="752" t="s">
        <v>53</v>
      </c>
      <c r="N750" s="752" t="s">
        <v>41</v>
      </c>
      <c r="O750" s="752" t="s">
        <v>41</v>
      </c>
      <c r="P750" s="752" t="s">
        <v>1091</v>
      </c>
      <c r="Q750" s="753">
        <v>248954</v>
      </c>
      <c r="R750" s="753">
        <v>119607</v>
      </c>
      <c r="S750" s="753">
        <v>273849</v>
      </c>
      <c r="T750" s="753">
        <v>131569</v>
      </c>
      <c r="U750" s="753">
        <v>21594</v>
      </c>
      <c r="V750" s="751">
        <v>2019</v>
      </c>
      <c r="W750" s="222"/>
      <c r="X750" s="186"/>
      <c r="Y750" s="86" t="str">
        <f t="shared" si="36"/>
        <v/>
      </c>
      <c r="Z750" s="86" t="str">
        <f t="shared" si="37"/>
        <v/>
      </c>
      <c r="AA750" s="44"/>
      <c r="AB750" s="65"/>
    </row>
    <row r="751" spans="1:28" hidden="1">
      <c r="A751" s="751">
        <v>50447</v>
      </c>
      <c r="B751" s="752" t="s">
        <v>56</v>
      </c>
      <c r="C751" s="751" t="s">
        <v>2960</v>
      </c>
      <c r="D751" s="752" t="s">
        <v>437</v>
      </c>
      <c r="E751" s="752" t="s">
        <v>438</v>
      </c>
      <c r="F751" s="751">
        <v>16721</v>
      </c>
      <c r="G751" s="752" t="s">
        <v>92</v>
      </c>
      <c r="H751" s="752" t="s">
        <v>1245</v>
      </c>
      <c r="I751" s="752" t="s">
        <v>60</v>
      </c>
      <c r="J751" s="751">
        <v>322122</v>
      </c>
      <c r="K751" s="751">
        <v>7</v>
      </c>
      <c r="L751" s="752" t="s">
        <v>419</v>
      </c>
      <c r="M751" s="752" t="s">
        <v>37</v>
      </c>
      <c r="N751" s="752" t="s">
        <v>38</v>
      </c>
      <c r="O751" s="752" t="s">
        <v>39</v>
      </c>
      <c r="P751" s="752" t="s">
        <v>1238</v>
      </c>
      <c r="Q751" s="753">
        <v>0</v>
      </c>
      <c r="R751" s="753">
        <v>0</v>
      </c>
      <c r="S751" s="753">
        <v>335690</v>
      </c>
      <c r="T751" s="753">
        <v>335690</v>
      </c>
      <c r="U751" s="753">
        <v>37701</v>
      </c>
      <c r="V751" s="751">
        <v>2019</v>
      </c>
      <c r="W751" s="222"/>
      <c r="X751" s="186" t="str">
        <f>IF(OR(K751&gt;3,T751=0,NOT(U751&gt;0)),"",T751/U751)</f>
        <v/>
      </c>
      <c r="Y751" s="86" t="str">
        <f t="shared" si="36"/>
        <v/>
      </c>
      <c r="Z751" s="86" t="str">
        <f t="shared" si="37"/>
        <v/>
      </c>
      <c r="AA751" s="44"/>
      <c r="AB751" s="65"/>
    </row>
    <row r="752" spans="1:28" ht="25" hidden="1">
      <c r="A752" s="751">
        <v>50447</v>
      </c>
      <c r="B752" s="752" t="s">
        <v>56</v>
      </c>
      <c r="C752" s="751" t="s">
        <v>2960</v>
      </c>
      <c r="D752" s="752" t="s">
        <v>437</v>
      </c>
      <c r="E752" s="752" t="s">
        <v>438</v>
      </c>
      <c r="F752" s="751">
        <v>16721</v>
      </c>
      <c r="G752" s="752" t="s">
        <v>92</v>
      </c>
      <c r="H752" s="752" t="s">
        <v>1245</v>
      </c>
      <c r="I752" s="752" t="s">
        <v>60</v>
      </c>
      <c r="J752" s="751">
        <v>322122</v>
      </c>
      <c r="K752" s="751">
        <v>7</v>
      </c>
      <c r="L752" s="752" t="s">
        <v>419</v>
      </c>
      <c r="M752" s="752" t="s">
        <v>44</v>
      </c>
      <c r="N752" s="752" t="s">
        <v>45</v>
      </c>
      <c r="O752" s="752" t="s">
        <v>46</v>
      </c>
      <c r="P752" s="752" t="s">
        <v>47</v>
      </c>
      <c r="Q752" s="753">
        <v>18232</v>
      </c>
      <c r="R752" s="753">
        <v>3581</v>
      </c>
      <c r="S752" s="753">
        <v>449297</v>
      </c>
      <c r="T752" s="753">
        <v>88238</v>
      </c>
      <c r="U752" s="753">
        <v>10528.344999999999</v>
      </c>
      <c r="V752" s="751">
        <v>2019</v>
      </c>
      <c r="W752" s="222"/>
      <c r="X752" s="186" t="str">
        <f>IF(OR(K752&gt;3,T752=0,NOT(U752&gt;0)),"",T752/U752)</f>
        <v/>
      </c>
      <c r="Y752" s="86" t="str">
        <f t="shared" si="36"/>
        <v/>
      </c>
      <c r="Z752" s="86" t="str">
        <f t="shared" si="37"/>
        <v/>
      </c>
      <c r="AA752" s="44"/>
      <c r="AB752" s="65"/>
    </row>
    <row r="753" spans="1:28" hidden="1">
      <c r="A753" s="751">
        <v>50447</v>
      </c>
      <c r="B753" s="752" t="s">
        <v>56</v>
      </c>
      <c r="C753" s="751" t="s">
        <v>2960</v>
      </c>
      <c r="D753" s="752" t="s">
        <v>437</v>
      </c>
      <c r="E753" s="752" t="s">
        <v>438</v>
      </c>
      <c r="F753" s="751">
        <v>16721</v>
      </c>
      <c r="G753" s="752" t="s">
        <v>92</v>
      </c>
      <c r="H753" s="752" t="s">
        <v>1245</v>
      </c>
      <c r="I753" s="752" t="s">
        <v>60</v>
      </c>
      <c r="J753" s="751">
        <v>322122</v>
      </c>
      <c r="K753" s="751">
        <v>7</v>
      </c>
      <c r="L753" s="752" t="s">
        <v>419</v>
      </c>
      <c r="M753" s="752" t="s">
        <v>44</v>
      </c>
      <c r="N753" s="752" t="s">
        <v>48</v>
      </c>
      <c r="O753" s="752" t="s">
        <v>48</v>
      </c>
      <c r="P753" s="752" t="s">
        <v>49</v>
      </c>
      <c r="Q753" s="753">
        <v>0</v>
      </c>
      <c r="R753" s="753">
        <v>0</v>
      </c>
      <c r="S753" s="753">
        <v>0</v>
      </c>
      <c r="T753" s="753">
        <v>0</v>
      </c>
      <c r="U753" s="753">
        <v>0</v>
      </c>
      <c r="V753" s="751">
        <v>2019</v>
      </c>
      <c r="W753" s="222"/>
      <c r="X753" s="186"/>
      <c r="Y753" s="86" t="str">
        <f t="shared" si="36"/>
        <v/>
      </c>
      <c r="Z753" s="86" t="str">
        <f t="shared" si="37"/>
        <v/>
      </c>
      <c r="AA753" s="44"/>
      <c r="AB753" s="65"/>
    </row>
    <row r="754" spans="1:28" hidden="1">
      <c r="A754" s="751">
        <v>50447</v>
      </c>
      <c r="B754" s="752" t="s">
        <v>56</v>
      </c>
      <c r="C754" s="751" t="s">
        <v>2960</v>
      </c>
      <c r="D754" s="752" t="s">
        <v>437</v>
      </c>
      <c r="E754" s="752" t="s">
        <v>438</v>
      </c>
      <c r="F754" s="751">
        <v>16721</v>
      </c>
      <c r="G754" s="752" t="s">
        <v>92</v>
      </c>
      <c r="H754" s="752" t="s">
        <v>1245</v>
      </c>
      <c r="I754" s="752" t="s">
        <v>60</v>
      </c>
      <c r="J754" s="751">
        <v>322122</v>
      </c>
      <c r="K754" s="751">
        <v>7</v>
      </c>
      <c r="L754" s="752" t="s">
        <v>419</v>
      </c>
      <c r="M754" s="752" t="s">
        <v>44</v>
      </c>
      <c r="N754" s="752" t="s">
        <v>63</v>
      </c>
      <c r="O754" s="752" t="s">
        <v>63</v>
      </c>
      <c r="P754" s="752" t="s">
        <v>49</v>
      </c>
      <c r="Q754" s="753">
        <v>3714</v>
      </c>
      <c r="R754" s="753">
        <v>674</v>
      </c>
      <c r="S754" s="753">
        <v>23399</v>
      </c>
      <c r="T754" s="753">
        <v>4242</v>
      </c>
      <c r="U754" s="753">
        <v>496.30200000000002</v>
      </c>
      <c r="V754" s="751">
        <v>2019</v>
      </c>
      <c r="W754" s="222"/>
      <c r="X754" s="186" t="str">
        <f t="shared" ref="X754:X778" si="38">IF(OR(K754&gt;3,T754=0,NOT(U754&gt;0)),"",T754/U754)</f>
        <v/>
      </c>
      <c r="Y754" s="178" t="str">
        <f t="shared" si="36"/>
        <v/>
      </c>
      <c r="Z754" s="178" t="str">
        <f t="shared" si="37"/>
        <v/>
      </c>
      <c r="AA754" s="44"/>
      <c r="AB754" s="65"/>
    </row>
    <row r="755" spans="1:28" ht="25" hidden="1">
      <c r="A755" s="751">
        <v>50447</v>
      </c>
      <c r="B755" s="752" t="s">
        <v>56</v>
      </c>
      <c r="C755" s="751" t="s">
        <v>2960</v>
      </c>
      <c r="D755" s="752" t="s">
        <v>437</v>
      </c>
      <c r="E755" s="752" t="s">
        <v>438</v>
      </c>
      <c r="F755" s="751">
        <v>16721</v>
      </c>
      <c r="G755" s="752" t="s">
        <v>92</v>
      </c>
      <c r="H755" s="752" t="s">
        <v>1245</v>
      </c>
      <c r="I755" s="752" t="s">
        <v>60</v>
      </c>
      <c r="J755" s="751">
        <v>322122</v>
      </c>
      <c r="K755" s="751">
        <v>7</v>
      </c>
      <c r="L755" s="752" t="s">
        <v>419</v>
      </c>
      <c r="M755" s="752" t="s">
        <v>44</v>
      </c>
      <c r="N755" s="752" t="s">
        <v>71</v>
      </c>
      <c r="O755" s="752" t="s">
        <v>72</v>
      </c>
      <c r="P755" s="752" t="s">
        <v>47</v>
      </c>
      <c r="Q755" s="753">
        <v>274298</v>
      </c>
      <c r="R755" s="753">
        <v>53922</v>
      </c>
      <c r="S755" s="753">
        <v>2578400</v>
      </c>
      <c r="T755" s="753">
        <v>506859</v>
      </c>
      <c r="U755" s="753">
        <v>62221.353000000003</v>
      </c>
      <c r="V755" s="751">
        <v>2019</v>
      </c>
      <c r="W755" s="222"/>
      <c r="X755" s="186" t="str">
        <f t="shared" si="38"/>
        <v/>
      </c>
      <c r="Y755" s="86" t="str">
        <f t="shared" si="36"/>
        <v/>
      </c>
      <c r="Z755" s="86" t="str">
        <f t="shared" si="37"/>
        <v/>
      </c>
      <c r="AA755" s="44"/>
      <c r="AB755" s="65"/>
    </row>
    <row r="756" spans="1:28" ht="25" hidden="1">
      <c r="A756" s="751">
        <v>50449</v>
      </c>
      <c r="B756" s="752" t="s">
        <v>56</v>
      </c>
      <c r="C756" s="751" t="s">
        <v>2960</v>
      </c>
      <c r="D756" s="752" t="s">
        <v>928</v>
      </c>
      <c r="E756" s="752" t="s">
        <v>929</v>
      </c>
      <c r="F756" s="751">
        <v>9245</v>
      </c>
      <c r="G756" s="752" t="s">
        <v>59</v>
      </c>
      <c r="H756" s="752" t="s">
        <v>1244</v>
      </c>
      <c r="I756" s="752" t="s">
        <v>60</v>
      </c>
      <c r="J756" s="751">
        <v>22</v>
      </c>
      <c r="K756" s="751">
        <v>3</v>
      </c>
      <c r="L756" s="752" t="s">
        <v>57</v>
      </c>
      <c r="M756" s="752" t="s">
        <v>40</v>
      </c>
      <c r="N756" s="752" t="s">
        <v>48</v>
      </c>
      <c r="O756" s="752" t="s">
        <v>48</v>
      </c>
      <c r="P756" s="752" t="s">
        <v>49</v>
      </c>
      <c r="Q756" s="753">
        <v>0</v>
      </c>
      <c r="R756" s="753">
        <v>0</v>
      </c>
      <c r="S756" s="753">
        <v>0</v>
      </c>
      <c r="T756" s="753">
        <v>0</v>
      </c>
      <c r="U756" s="753">
        <v>0.23799999999999999</v>
      </c>
      <c r="V756" s="751">
        <v>2019</v>
      </c>
      <c r="W756" s="222"/>
      <c r="X756" s="186" t="str">
        <f t="shared" si="38"/>
        <v/>
      </c>
      <c r="Y756" s="86" t="str">
        <f t="shared" si="36"/>
        <v/>
      </c>
      <c r="Z756" s="86" t="str">
        <f t="shared" si="37"/>
        <v/>
      </c>
      <c r="AA756" s="44"/>
      <c r="AB756" s="65"/>
    </row>
    <row r="757" spans="1:28" ht="25" hidden="1">
      <c r="A757" s="751">
        <v>50449</v>
      </c>
      <c r="B757" s="752" t="s">
        <v>56</v>
      </c>
      <c r="C757" s="751" t="s">
        <v>2960</v>
      </c>
      <c r="D757" s="752" t="s">
        <v>928</v>
      </c>
      <c r="E757" s="752" t="s">
        <v>929</v>
      </c>
      <c r="F757" s="751">
        <v>9245</v>
      </c>
      <c r="G757" s="752" t="s">
        <v>59</v>
      </c>
      <c r="H757" s="752" t="s">
        <v>1244</v>
      </c>
      <c r="I757" s="752" t="s">
        <v>60</v>
      </c>
      <c r="J757" s="751">
        <v>22</v>
      </c>
      <c r="K757" s="751">
        <v>3</v>
      </c>
      <c r="L757" s="752" t="s">
        <v>57</v>
      </c>
      <c r="M757" s="752" t="s">
        <v>40</v>
      </c>
      <c r="N757" s="752" t="s">
        <v>41</v>
      </c>
      <c r="O757" s="752" t="s">
        <v>41</v>
      </c>
      <c r="P757" s="752" t="s">
        <v>1091</v>
      </c>
      <c r="Q757" s="753">
        <v>10631</v>
      </c>
      <c r="R757" s="753">
        <v>10631</v>
      </c>
      <c r="S757" s="753">
        <v>10855</v>
      </c>
      <c r="T757" s="753">
        <v>10855</v>
      </c>
      <c r="U757" s="753">
        <v>10253.632</v>
      </c>
      <c r="V757" s="751">
        <v>2019</v>
      </c>
      <c r="W757" s="222"/>
      <c r="X757" s="186">
        <f t="shared" si="38"/>
        <v>1.0586492669134215</v>
      </c>
      <c r="Y757" s="86" t="str">
        <f t="shared" si="36"/>
        <v/>
      </c>
      <c r="Z757" s="86" t="str">
        <f t="shared" si="37"/>
        <v/>
      </c>
      <c r="AA757" s="44"/>
      <c r="AB757" s="65"/>
    </row>
    <row r="758" spans="1:28" ht="25" hidden="1">
      <c r="A758" s="751">
        <v>50449</v>
      </c>
      <c r="B758" s="752" t="s">
        <v>56</v>
      </c>
      <c r="C758" s="751" t="s">
        <v>2960</v>
      </c>
      <c r="D758" s="752" t="s">
        <v>928</v>
      </c>
      <c r="E758" s="752" t="s">
        <v>929</v>
      </c>
      <c r="F758" s="751">
        <v>9245</v>
      </c>
      <c r="G758" s="752" t="s">
        <v>59</v>
      </c>
      <c r="H758" s="752" t="s">
        <v>1244</v>
      </c>
      <c r="I758" s="752" t="s">
        <v>60</v>
      </c>
      <c r="J758" s="751">
        <v>22</v>
      </c>
      <c r="K758" s="751">
        <v>3</v>
      </c>
      <c r="L758" s="752" t="s">
        <v>57</v>
      </c>
      <c r="M758" s="752" t="s">
        <v>43</v>
      </c>
      <c r="N758" s="752" t="s">
        <v>48</v>
      </c>
      <c r="O758" s="752" t="s">
        <v>48</v>
      </c>
      <c r="P758" s="752" t="s">
        <v>49</v>
      </c>
      <c r="Q758" s="753">
        <v>2</v>
      </c>
      <c r="R758" s="753">
        <v>2</v>
      </c>
      <c r="S758" s="753">
        <v>12</v>
      </c>
      <c r="T758" s="753">
        <v>11</v>
      </c>
      <c r="U758" s="753">
        <v>0.89400000000000002</v>
      </c>
      <c r="V758" s="751">
        <v>2019</v>
      </c>
      <c r="W758" s="222"/>
      <c r="X758" s="186">
        <f t="shared" si="38"/>
        <v>12.304250559284116</v>
      </c>
      <c r="Y758" s="86" t="str">
        <f t="shared" si="36"/>
        <v/>
      </c>
      <c r="Z758" s="86" t="str">
        <f t="shared" si="37"/>
        <v/>
      </c>
      <c r="AA758" s="44"/>
      <c r="AB758" s="65"/>
    </row>
    <row r="759" spans="1:28" ht="25" hidden="1">
      <c r="A759" s="751">
        <v>50449</v>
      </c>
      <c r="B759" s="752" t="s">
        <v>56</v>
      </c>
      <c r="C759" s="751" t="s">
        <v>2960</v>
      </c>
      <c r="D759" s="752" t="s">
        <v>928</v>
      </c>
      <c r="E759" s="752" t="s">
        <v>929</v>
      </c>
      <c r="F759" s="751">
        <v>9245</v>
      </c>
      <c r="G759" s="752" t="s">
        <v>59</v>
      </c>
      <c r="H759" s="752" t="s">
        <v>1244</v>
      </c>
      <c r="I759" s="752" t="s">
        <v>60</v>
      </c>
      <c r="J759" s="751">
        <v>22</v>
      </c>
      <c r="K759" s="751">
        <v>3</v>
      </c>
      <c r="L759" s="752" t="s">
        <v>57</v>
      </c>
      <c r="M759" s="752" t="s">
        <v>43</v>
      </c>
      <c r="N759" s="752" t="s">
        <v>41</v>
      </c>
      <c r="O759" s="752" t="s">
        <v>41</v>
      </c>
      <c r="P759" s="752" t="s">
        <v>1091</v>
      </c>
      <c r="Q759" s="753">
        <v>401755</v>
      </c>
      <c r="R759" s="753">
        <v>401681</v>
      </c>
      <c r="S759" s="753">
        <v>410511</v>
      </c>
      <c r="T759" s="753">
        <v>410435</v>
      </c>
      <c r="U759" s="753">
        <v>32855.915999999997</v>
      </c>
      <c r="V759" s="751">
        <v>2019</v>
      </c>
      <c r="W759" s="222"/>
      <c r="X759" s="186">
        <f t="shared" si="38"/>
        <v>12.49196643916426</v>
      </c>
      <c r="Y759" s="86" t="str">
        <f t="shared" si="36"/>
        <v/>
      </c>
      <c r="Z759" s="86" t="str">
        <f t="shared" si="37"/>
        <v/>
      </c>
      <c r="AA759" s="44"/>
      <c r="AB759" s="65"/>
    </row>
    <row r="760" spans="1:28" hidden="1">
      <c r="A760" s="751">
        <v>50450</v>
      </c>
      <c r="B760" s="752" t="s">
        <v>56</v>
      </c>
      <c r="C760" s="751" t="s">
        <v>2960</v>
      </c>
      <c r="D760" s="752" t="s">
        <v>930</v>
      </c>
      <c r="E760" s="752" t="s">
        <v>931</v>
      </c>
      <c r="F760" s="751">
        <v>9244</v>
      </c>
      <c r="G760" s="752" t="s">
        <v>59</v>
      </c>
      <c r="H760" s="752" t="s">
        <v>1244</v>
      </c>
      <c r="I760" s="752" t="s">
        <v>60</v>
      </c>
      <c r="J760" s="751">
        <v>22</v>
      </c>
      <c r="K760" s="751">
        <v>3</v>
      </c>
      <c r="L760" s="752" t="s">
        <v>57</v>
      </c>
      <c r="M760" s="752" t="s">
        <v>40</v>
      </c>
      <c r="N760" s="752" t="s">
        <v>48</v>
      </c>
      <c r="O760" s="752" t="s">
        <v>48</v>
      </c>
      <c r="P760" s="752" t="s">
        <v>49</v>
      </c>
      <c r="Q760" s="753">
        <v>0</v>
      </c>
      <c r="R760" s="753">
        <v>0</v>
      </c>
      <c r="S760" s="753">
        <v>0</v>
      </c>
      <c r="T760" s="753">
        <v>0</v>
      </c>
      <c r="U760" s="753">
        <v>1.9810000000000001</v>
      </c>
      <c r="V760" s="751">
        <v>2019</v>
      </c>
      <c r="W760" s="222"/>
      <c r="X760" s="186" t="str">
        <f t="shared" si="38"/>
        <v/>
      </c>
      <c r="Y760" s="86" t="str">
        <f t="shared" si="36"/>
        <v/>
      </c>
      <c r="Z760" s="86" t="str">
        <f t="shared" si="37"/>
        <v/>
      </c>
      <c r="AA760" s="44"/>
      <c r="AB760" s="65"/>
    </row>
    <row r="761" spans="1:28" hidden="1">
      <c r="A761" s="751">
        <v>50450</v>
      </c>
      <c r="B761" s="752" t="s">
        <v>56</v>
      </c>
      <c r="C761" s="751" t="s">
        <v>2960</v>
      </c>
      <c r="D761" s="752" t="s">
        <v>930</v>
      </c>
      <c r="E761" s="752" t="s">
        <v>931</v>
      </c>
      <c r="F761" s="751">
        <v>9244</v>
      </c>
      <c r="G761" s="752" t="s">
        <v>59</v>
      </c>
      <c r="H761" s="752" t="s">
        <v>1244</v>
      </c>
      <c r="I761" s="752" t="s">
        <v>60</v>
      </c>
      <c r="J761" s="751">
        <v>22</v>
      </c>
      <c r="K761" s="751">
        <v>3</v>
      </c>
      <c r="L761" s="752" t="s">
        <v>57</v>
      </c>
      <c r="M761" s="752" t="s">
        <v>40</v>
      </c>
      <c r="N761" s="752" t="s">
        <v>41</v>
      </c>
      <c r="O761" s="752" t="s">
        <v>41</v>
      </c>
      <c r="P761" s="752" t="s">
        <v>1091</v>
      </c>
      <c r="Q761" s="753">
        <v>11319</v>
      </c>
      <c r="R761" s="753">
        <v>11319</v>
      </c>
      <c r="S761" s="753">
        <v>11631</v>
      </c>
      <c r="T761" s="753">
        <v>11631</v>
      </c>
      <c r="U761" s="753">
        <v>7787.0190000000002</v>
      </c>
      <c r="V761" s="751">
        <v>2019</v>
      </c>
      <c r="W761" s="222"/>
      <c r="X761" s="186">
        <f t="shared" si="38"/>
        <v>1.4936396071462006</v>
      </c>
      <c r="Y761" s="86" t="str">
        <f t="shared" si="36"/>
        <v/>
      </c>
      <c r="Z761" s="86" t="str">
        <f t="shared" si="37"/>
        <v/>
      </c>
      <c r="AA761" s="44"/>
      <c r="AB761" s="65"/>
    </row>
    <row r="762" spans="1:28" hidden="1">
      <c r="A762" s="751">
        <v>50450</v>
      </c>
      <c r="B762" s="752" t="s">
        <v>56</v>
      </c>
      <c r="C762" s="751" t="s">
        <v>2960</v>
      </c>
      <c r="D762" s="752" t="s">
        <v>930</v>
      </c>
      <c r="E762" s="752" t="s">
        <v>931</v>
      </c>
      <c r="F762" s="751">
        <v>9244</v>
      </c>
      <c r="G762" s="752" t="s">
        <v>59</v>
      </c>
      <c r="H762" s="752" t="s">
        <v>1244</v>
      </c>
      <c r="I762" s="752" t="s">
        <v>60</v>
      </c>
      <c r="J762" s="751">
        <v>22</v>
      </c>
      <c r="K762" s="751">
        <v>3</v>
      </c>
      <c r="L762" s="752" t="s">
        <v>57</v>
      </c>
      <c r="M762" s="752" t="s">
        <v>43</v>
      </c>
      <c r="N762" s="752" t="s">
        <v>48</v>
      </c>
      <c r="O762" s="752" t="s">
        <v>48</v>
      </c>
      <c r="P762" s="752" t="s">
        <v>49</v>
      </c>
      <c r="Q762" s="753">
        <v>11</v>
      </c>
      <c r="R762" s="753">
        <v>11</v>
      </c>
      <c r="S762" s="753">
        <v>61</v>
      </c>
      <c r="T762" s="753">
        <v>61</v>
      </c>
      <c r="U762" s="753">
        <v>4.5430000000000001</v>
      </c>
      <c r="V762" s="751">
        <v>2019</v>
      </c>
      <c r="W762" s="222"/>
      <c r="X762" s="186">
        <f t="shared" si="38"/>
        <v>13.427250715386307</v>
      </c>
      <c r="Y762" s="86" t="str">
        <f t="shared" si="36"/>
        <v/>
      </c>
      <c r="Z762" s="86" t="str">
        <f t="shared" si="37"/>
        <v/>
      </c>
      <c r="AA762" s="44"/>
      <c r="AB762" s="65"/>
    </row>
    <row r="763" spans="1:28" hidden="1">
      <c r="A763" s="751">
        <v>50450</v>
      </c>
      <c r="B763" s="752" t="s">
        <v>56</v>
      </c>
      <c r="C763" s="751" t="s">
        <v>2960</v>
      </c>
      <c r="D763" s="752" t="s">
        <v>930</v>
      </c>
      <c r="E763" s="752" t="s">
        <v>931</v>
      </c>
      <c r="F763" s="751">
        <v>9244</v>
      </c>
      <c r="G763" s="752" t="s">
        <v>59</v>
      </c>
      <c r="H763" s="752" t="s">
        <v>1244</v>
      </c>
      <c r="I763" s="752" t="s">
        <v>60</v>
      </c>
      <c r="J763" s="751">
        <v>22</v>
      </c>
      <c r="K763" s="751">
        <v>3</v>
      </c>
      <c r="L763" s="752" t="s">
        <v>57</v>
      </c>
      <c r="M763" s="752" t="s">
        <v>43</v>
      </c>
      <c r="N763" s="752" t="s">
        <v>41</v>
      </c>
      <c r="O763" s="752" t="s">
        <v>41</v>
      </c>
      <c r="P763" s="752" t="s">
        <v>1091</v>
      </c>
      <c r="Q763" s="753">
        <v>222731</v>
      </c>
      <c r="R763" s="753">
        <v>219351</v>
      </c>
      <c r="S763" s="753">
        <v>228936</v>
      </c>
      <c r="T763" s="753">
        <v>225432</v>
      </c>
      <c r="U763" s="753">
        <v>16930.456999999999</v>
      </c>
      <c r="V763" s="751">
        <v>2019</v>
      </c>
      <c r="W763" s="222"/>
      <c r="X763" s="186">
        <f t="shared" si="38"/>
        <v>13.315175130830788</v>
      </c>
      <c r="Y763" s="178" t="str">
        <f t="shared" si="36"/>
        <v/>
      </c>
      <c r="Z763" s="178" t="str">
        <f t="shared" si="37"/>
        <v/>
      </c>
      <c r="AA763" s="44"/>
      <c r="AB763" s="65"/>
    </row>
    <row r="764" spans="1:28" hidden="1">
      <c r="A764" s="751">
        <v>50451</v>
      </c>
      <c r="B764" s="752" t="s">
        <v>56</v>
      </c>
      <c r="C764" s="751" t="s">
        <v>2960</v>
      </c>
      <c r="D764" s="752" t="s">
        <v>932</v>
      </c>
      <c r="E764" s="752" t="s">
        <v>933</v>
      </c>
      <c r="F764" s="751">
        <v>9243</v>
      </c>
      <c r="G764" s="752" t="s">
        <v>59</v>
      </c>
      <c r="H764" s="752" t="s">
        <v>1244</v>
      </c>
      <c r="I764" s="752" t="s">
        <v>60</v>
      </c>
      <c r="J764" s="751">
        <v>22</v>
      </c>
      <c r="K764" s="751">
        <v>3</v>
      </c>
      <c r="L764" s="752" t="s">
        <v>57</v>
      </c>
      <c r="M764" s="752" t="s">
        <v>40</v>
      </c>
      <c r="N764" s="752" t="s">
        <v>48</v>
      </c>
      <c r="O764" s="752" t="s">
        <v>48</v>
      </c>
      <c r="P764" s="752" t="s">
        <v>49</v>
      </c>
      <c r="Q764" s="753">
        <v>0</v>
      </c>
      <c r="R764" s="753">
        <v>0</v>
      </c>
      <c r="S764" s="753">
        <v>0</v>
      </c>
      <c r="T764" s="753">
        <v>0</v>
      </c>
      <c r="U764" s="753">
        <v>0.23</v>
      </c>
      <c r="V764" s="751">
        <v>2019</v>
      </c>
      <c r="W764" s="222"/>
      <c r="X764" s="186" t="str">
        <f t="shared" si="38"/>
        <v/>
      </c>
      <c r="Y764" s="178" t="str">
        <f t="shared" si="36"/>
        <v/>
      </c>
      <c r="Z764" s="178" t="str">
        <f t="shared" si="37"/>
        <v/>
      </c>
      <c r="AA764" s="44"/>
      <c r="AB764" s="65"/>
    </row>
    <row r="765" spans="1:28" hidden="1">
      <c r="A765" s="751">
        <v>50451</v>
      </c>
      <c r="B765" s="752" t="s">
        <v>56</v>
      </c>
      <c r="C765" s="751" t="s">
        <v>2960</v>
      </c>
      <c r="D765" s="752" t="s">
        <v>932</v>
      </c>
      <c r="E765" s="752" t="s">
        <v>933</v>
      </c>
      <c r="F765" s="751">
        <v>9243</v>
      </c>
      <c r="G765" s="752" t="s">
        <v>59</v>
      </c>
      <c r="H765" s="752" t="s">
        <v>1244</v>
      </c>
      <c r="I765" s="752" t="s">
        <v>60</v>
      </c>
      <c r="J765" s="751">
        <v>22</v>
      </c>
      <c r="K765" s="751">
        <v>3</v>
      </c>
      <c r="L765" s="752" t="s">
        <v>57</v>
      </c>
      <c r="M765" s="752" t="s">
        <v>40</v>
      </c>
      <c r="N765" s="752" t="s">
        <v>41</v>
      </c>
      <c r="O765" s="752" t="s">
        <v>41</v>
      </c>
      <c r="P765" s="752" t="s">
        <v>1091</v>
      </c>
      <c r="Q765" s="753">
        <v>4017</v>
      </c>
      <c r="R765" s="753">
        <v>4017</v>
      </c>
      <c r="S765" s="753">
        <v>4153</v>
      </c>
      <c r="T765" s="753">
        <v>4153</v>
      </c>
      <c r="U765" s="753">
        <v>6503.77</v>
      </c>
      <c r="V765" s="751">
        <v>2019</v>
      </c>
      <c r="W765" s="222"/>
      <c r="X765" s="186">
        <f t="shared" si="38"/>
        <v>0.63855271634759525</v>
      </c>
      <c r="Y765" s="86" t="str">
        <f t="shared" si="36"/>
        <v/>
      </c>
      <c r="Z765" s="86" t="str">
        <f t="shared" si="37"/>
        <v/>
      </c>
      <c r="AA765" s="44"/>
      <c r="AB765" s="65"/>
    </row>
    <row r="766" spans="1:28" hidden="1">
      <c r="A766" s="751">
        <v>50451</v>
      </c>
      <c r="B766" s="752" t="s">
        <v>56</v>
      </c>
      <c r="C766" s="751" t="s">
        <v>2960</v>
      </c>
      <c r="D766" s="752" t="s">
        <v>932</v>
      </c>
      <c r="E766" s="752" t="s">
        <v>933</v>
      </c>
      <c r="F766" s="751">
        <v>9243</v>
      </c>
      <c r="G766" s="752" t="s">
        <v>59</v>
      </c>
      <c r="H766" s="752" t="s">
        <v>1244</v>
      </c>
      <c r="I766" s="752" t="s">
        <v>60</v>
      </c>
      <c r="J766" s="751">
        <v>22</v>
      </c>
      <c r="K766" s="751">
        <v>3</v>
      </c>
      <c r="L766" s="752" t="s">
        <v>57</v>
      </c>
      <c r="M766" s="752" t="s">
        <v>43</v>
      </c>
      <c r="N766" s="752" t="s">
        <v>48</v>
      </c>
      <c r="O766" s="752" t="s">
        <v>48</v>
      </c>
      <c r="P766" s="752" t="s">
        <v>49</v>
      </c>
      <c r="Q766" s="753">
        <v>2</v>
      </c>
      <c r="R766" s="753">
        <v>2</v>
      </c>
      <c r="S766" s="753">
        <v>11</v>
      </c>
      <c r="T766" s="753">
        <v>11</v>
      </c>
      <c r="U766" s="753">
        <v>0.81</v>
      </c>
      <c r="V766" s="751">
        <v>2019</v>
      </c>
      <c r="W766" s="222"/>
      <c r="X766" s="186">
        <f t="shared" si="38"/>
        <v>13.580246913580247</v>
      </c>
      <c r="Y766" s="86" t="str">
        <f t="shared" si="36"/>
        <v/>
      </c>
      <c r="Z766" s="86" t="str">
        <f t="shared" si="37"/>
        <v/>
      </c>
      <c r="AA766" s="44"/>
      <c r="AB766" s="65"/>
    </row>
    <row r="767" spans="1:28" hidden="1">
      <c r="A767" s="751">
        <v>50451</v>
      </c>
      <c r="B767" s="752" t="s">
        <v>56</v>
      </c>
      <c r="C767" s="751" t="s">
        <v>2960</v>
      </c>
      <c r="D767" s="752" t="s">
        <v>932</v>
      </c>
      <c r="E767" s="752" t="s">
        <v>933</v>
      </c>
      <c r="F767" s="751">
        <v>9243</v>
      </c>
      <c r="G767" s="752" t="s">
        <v>59</v>
      </c>
      <c r="H767" s="752" t="s">
        <v>1244</v>
      </c>
      <c r="I767" s="752" t="s">
        <v>60</v>
      </c>
      <c r="J767" s="751">
        <v>22</v>
      </c>
      <c r="K767" s="751">
        <v>3</v>
      </c>
      <c r="L767" s="752" t="s">
        <v>57</v>
      </c>
      <c r="M767" s="752" t="s">
        <v>43</v>
      </c>
      <c r="N767" s="752" t="s">
        <v>41</v>
      </c>
      <c r="O767" s="752" t="s">
        <v>41</v>
      </c>
      <c r="P767" s="752" t="s">
        <v>1091</v>
      </c>
      <c r="Q767" s="753">
        <v>246553</v>
      </c>
      <c r="R767" s="753">
        <v>246553</v>
      </c>
      <c r="S767" s="753">
        <v>254977</v>
      </c>
      <c r="T767" s="753">
        <v>254977</v>
      </c>
      <c r="U767" s="753">
        <v>18759.189999999999</v>
      </c>
      <c r="V767" s="751">
        <v>2019</v>
      </c>
      <c r="W767" s="222"/>
      <c r="X767" s="186">
        <f t="shared" si="38"/>
        <v>13.592111386472444</v>
      </c>
      <c r="Y767" s="86" t="str">
        <f t="shared" si="36"/>
        <v/>
      </c>
      <c r="Z767" s="86" t="str">
        <f t="shared" si="37"/>
        <v/>
      </c>
      <c r="AA767" s="44"/>
      <c r="AB767" s="65"/>
    </row>
    <row r="768" spans="1:28" hidden="1">
      <c r="A768" s="751">
        <v>50458</v>
      </c>
      <c r="B768" s="752" t="s">
        <v>56</v>
      </c>
      <c r="C768" s="751" t="s">
        <v>2960</v>
      </c>
      <c r="D768" s="752" t="s">
        <v>934</v>
      </c>
      <c r="E768" s="752" t="s">
        <v>935</v>
      </c>
      <c r="F768" s="751">
        <v>9263</v>
      </c>
      <c r="G768" s="752" t="s">
        <v>59</v>
      </c>
      <c r="H768" s="752" t="s">
        <v>1244</v>
      </c>
      <c r="I768" s="752" t="s">
        <v>60</v>
      </c>
      <c r="J768" s="751">
        <v>22</v>
      </c>
      <c r="K768" s="751">
        <v>3</v>
      </c>
      <c r="L768" s="752" t="s">
        <v>57</v>
      </c>
      <c r="M768" s="752" t="s">
        <v>40</v>
      </c>
      <c r="N768" s="752" t="s">
        <v>48</v>
      </c>
      <c r="O768" s="752" t="s">
        <v>48</v>
      </c>
      <c r="P768" s="752" t="s">
        <v>49</v>
      </c>
      <c r="Q768" s="753">
        <v>0</v>
      </c>
      <c r="R768" s="753">
        <v>0</v>
      </c>
      <c r="S768" s="753">
        <v>0</v>
      </c>
      <c r="T768" s="753">
        <v>0</v>
      </c>
      <c r="U768" s="753">
        <v>3809.3829999999998</v>
      </c>
      <c r="V768" s="751">
        <v>2019</v>
      </c>
      <c r="W768" s="222"/>
      <c r="X768" s="186" t="str">
        <f t="shared" si="38"/>
        <v/>
      </c>
      <c r="Y768" s="86" t="str">
        <f t="shared" si="36"/>
        <v/>
      </c>
      <c r="Z768" s="86" t="str">
        <f t="shared" si="37"/>
        <v/>
      </c>
      <c r="AA768" s="44"/>
      <c r="AB768" s="65"/>
    </row>
    <row r="769" spans="1:28" hidden="1">
      <c r="A769" s="751">
        <v>50458</v>
      </c>
      <c r="B769" s="752" t="s">
        <v>56</v>
      </c>
      <c r="C769" s="751" t="s">
        <v>2960</v>
      </c>
      <c r="D769" s="752" t="s">
        <v>934</v>
      </c>
      <c r="E769" s="752" t="s">
        <v>935</v>
      </c>
      <c r="F769" s="751">
        <v>9263</v>
      </c>
      <c r="G769" s="752" t="s">
        <v>59</v>
      </c>
      <c r="H769" s="752" t="s">
        <v>1244</v>
      </c>
      <c r="I769" s="752" t="s">
        <v>60</v>
      </c>
      <c r="J769" s="751">
        <v>22</v>
      </c>
      <c r="K769" s="751">
        <v>3</v>
      </c>
      <c r="L769" s="752" t="s">
        <v>57</v>
      </c>
      <c r="M769" s="752" t="s">
        <v>40</v>
      </c>
      <c r="N769" s="752" t="s">
        <v>78</v>
      </c>
      <c r="O769" s="752" t="s">
        <v>69</v>
      </c>
      <c r="P769" s="752" t="s">
        <v>49</v>
      </c>
      <c r="Q769" s="753">
        <v>0</v>
      </c>
      <c r="R769" s="753">
        <v>0</v>
      </c>
      <c r="S769" s="753">
        <v>0</v>
      </c>
      <c r="T769" s="753">
        <v>0</v>
      </c>
      <c r="U769" s="753">
        <v>0</v>
      </c>
      <c r="V769" s="751">
        <v>2019</v>
      </c>
      <c r="W769" s="222"/>
      <c r="X769" s="186" t="str">
        <f t="shared" si="38"/>
        <v/>
      </c>
      <c r="Y769" s="86" t="str">
        <f t="shared" si="36"/>
        <v/>
      </c>
      <c r="Z769" s="86" t="str">
        <f t="shared" si="37"/>
        <v/>
      </c>
      <c r="AA769" s="44"/>
      <c r="AB769" s="65"/>
    </row>
    <row r="770" spans="1:28" hidden="1">
      <c r="A770" s="751">
        <v>50458</v>
      </c>
      <c r="B770" s="752" t="s">
        <v>56</v>
      </c>
      <c r="C770" s="751" t="s">
        <v>2960</v>
      </c>
      <c r="D770" s="752" t="s">
        <v>934</v>
      </c>
      <c r="E770" s="752" t="s">
        <v>935</v>
      </c>
      <c r="F770" s="751">
        <v>9263</v>
      </c>
      <c r="G770" s="752" t="s">
        <v>59</v>
      </c>
      <c r="H770" s="752" t="s">
        <v>1244</v>
      </c>
      <c r="I770" s="752" t="s">
        <v>60</v>
      </c>
      <c r="J770" s="751">
        <v>22</v>
      </c>
      <c r="K770" s="751">
        <v>3</v>
      </c>
      <c r="L770" s="752" t="s">
        <v>57</v>
      </c>
      <c r="M770" s="752" t="s">
        <v>40</v>
      </c>
      <c r="N770" s="752" t="s">
        <v>41</v>
      </c>
      <c r="O770" s="752" t="s">
        <v>41</v>
      </c>
      <c r="P770" s="752" t="s">
        <v>1091</v>
      </c>
      <c r="Q770" s="753">
        <v>247622</v>
      </c>
      <c r="R770" s="753">
        <v>247622</v>
      </c>
      <c r="S770" s="753">
        <v>254624</v>
      </c>
      <c r="T770" s="753">
        <v>254624</v>
      </c>
      <c r="U770" s="753">
        <v>208557.62</v>
      </c>
      <c r="V770" s="751">
        <v>2019</v>
      </c>
      <c r="W770" s="222"/>
      <c r="X770" s="186">
        <f t="shared" si="38"/>
        <v>1.2208808290006379</v>
      </c>
      <c r="Y770" s="86" t="str">
        <f t="shared" si="36"/>
        <v/>
      </c>
      <c r="Z770" s="86" t="str">
        <f t="shared" si="37"/>
        <v/>
      </c>
      <c r="AA770" s="44"/>
      <c r="AB770" s="65"/>
    </row>
    <row r="771" spans="1:28" hidden="1">
      <c r="A771" s="751">
        <v>50458</v>
      </c>
      <c r="B771" s="752" t="s">
        <v>56</v>
      </c>
      <c r="C771" s="751" t="s">
        <v>2960</v>
      </c>
      <c r="D771" s="752" t="s">
        <v>934</v>
      </c>
      <c r="E771" s="752" t="s">
        <v>935</v>
      </c>
      <c r="F771" s="751">
        <v>9263</v>
      </c>
      <c r="G771" s="752" t="s">
        <v>59</v>
      </c>
      <c r="H771" s="752" t="s">
        <v>1244</v>
      </c>
      <c r="I771" s="752" t="s">
        <v>60</v>
      </c>
      <c r="J771" s="751">
        <v>22</v>
      </c>
      <c r="K771" s="751">
        <v>3</v>
      </c>
      <c r="L771" s="752" t="s">
        <v>57</v>
      </c>
      <c r="M771" s="752" t="s">
        <v>43</v>
      </c>
      <c r="N771" s="752" t="s">
        <v>48</v>
      </c>
      <c r="O771" s="752" t="s">
        <v>48</v>
      </c>
      <c r="P771" s="752" t="s">
        <v>49</v>
      </c>
      <c r="Q771" s="753">
        <v>14880</v>
      </c>
      <c r="R771" s="753">
        <v>14483</v>
      </c>
      <c r="S771" s="753">
        <v>84444</v>
      </c>
      <c r="T771" s="753">
        <v>82190</v>
      </c>
      <c r="U771" s="753">
        <v>6807.3559999999998</v>
      </c>
      <c r="V771" s="751">
        <v>2019</v>
      </c>
      <c r="W771" s="222"/>
      <c r="X771" s="186">
        <f t="shared" si="38"/>
        <v>12.073703799243054</v>
      </c>
      <c r="Y771" s="86" t="str">
        <f t="shared" si="36"/>
        <v/>
      </c>
      <c r="Z771" s="86" t="str">
        <f t="shared" si="37"/>
        <v/>
      </c>
      <c r="AA771" s="44"/>
      <c r="AB771" s="65"/>
    </row>
    <row r="772" spans="1:28" hidden="1">
      <c r="A772" s="751">
        <v>50458</v>
      </c>
      <c r="B772" s="752" t="s">
        <v>56</v>
      </c>
      <c r="C772" s="751" t="s">
        <v>2960</v>
      </c>
      <c r="D772" s="752" t="s">
        <v>934</v>
      </c>
      <c r="E772" s="752" t="s">
        <v>935</v>
      </c>
      <c r="F772" s="751">
        <v>9263</v>
      </c>
      <c r="G772" s="752" t="s">
        <v>59</v>
      </c>
      <c r="H772" s="752" t="s">
        <v>1244</v>
      </c>
      <c r="I772" s="752" t="s">
        <v>60</v>
      </c>
      <c r="J772" s="751">
        <v>22</v>
      </c>
      <c r="K772" s="751">
        <v>3</v>
      </c>
      <c r="L772" s="752" t="s">
        <v>57</v>
      </c>
      <c r="M772" s="752" t="s">
        <v>43</v>
      </c>
      <c r="N772" s="752" t="s">
        <v>78</v>
      </c>
      <c r="O772" s="752" t="s">
        <v>69</v>
      </c>
      <c r="P772" s="752" t="s">
        <v>49</v>
      </c>
      <c r="Q772" s="753">
        <v>0</v>
      </c>
      <c r="R772" s="753">
        <v>0</v>
      </c>
      <c r="S772" s="753">
        <v>0</v>
      </c>
      <c r="T772" s="753">
        <v>0</v>
      </c>
      <c r="U772" s="753">
        <v>0</v>
      </c>
      <c r="V772" s="751">
        <v>2019</v>
      </c>
      <c r="W772" s="222"/>
      <c r="X772" s="186" t="str">
        <f t="shared" si="38"/>
        <v/>
      </c>
      <c r="Y772" s="178" t="str">
        <f t="shared" si="36"/>
        <v/>
      </c>
      <c r="Z772" s="178" t="str">
        <f t="shared" si="37"/>
        <v/>
      </c>
      <c r="AA772" s="44"/>
      <c r="AB772" s="65"/>
    </row>
    <row r="773" spans="1:28" hidden="1">
      <c r="A773" s="751">
        <v>50458</v>
      </c>
      <c r="B773" s="752" t="s">
        <v>56</v>
      </c>
      <c r="C773" s="751" t="s">
        <v>2960</v>
      </c>
      <c r="D773" s="752" t="s">
        <v>934</v>
      </c>
      <c r="E773" s="752" t="s">
        <v>935</v>
      </c>
      <c r="F773" s="751">
        <v>9263</v>
      </c>
      <c r="G773" s="752" t="s">
        <v>59</v>
      </c>
      <c r="H773" s="752" t="s">
        <v>1244</v>
      </c>
      <c r="I773" s="752" t="s">
        <v>60</v>
      </c>
      <c r="J773" s="751">
        <v>22</v>
      </c>
      <c r="K773" s="751">
        <v>3</v>
      </c>
      <c r="L773" s="752" t="s">
        <v>57</v>
      </c>
      <c r="M773" s="752" t="s">
        <v>43</v>
      </c>
      <c r="N773" s="752" t="s">
        <v>41</v>
      </c>
      <c r="O773" s="752" t="s">
        <v>41</v>
      </c>
      <c r="P773" s="752" t="s">
        <v>1091</v>
      </c>
      <c r="Q773" s="753">
        <v>4250097</v>
      </c>
      <c r="R773" s="753">
        <v>4077799</v>
      </c>
      <c r="S773" s="753">
        <v>4373022</v>
      </c>
      <c r="T773" s="753">
        <v>4195784</v>
      </c>
      <c r="U773" s="753">
        <v>363703.64</v>
      </c>
      <c r="V773" s="751">
        <v>2019</v>
      </c>
      <c r="W773" s="222"/>
      <c r="X773" s="186">
        <f t="shared" si="38"/>
        <v>11.536271674377524</v>
      </c>
      <c r="Y773" s="178" t="str">
        <f t="shared" si="36"/>
        <v/>
      </c>
      <c r="Z773" s="178" t="str">
        <f t="shared" si="37"/>
        <v/>
      </c>
      <c r="AA773" s="44"/>
      <c r="AB773" s="65"/>
    </row>
    <row r="774" spans="1:28" hidden="1">
      <c r="A774" s="751">
        <v>50472</v>
      </c>
      <c r="B774" s="752" t="s">
        <v>56</v>
      </c>
      <c r="C774" s="751" t="s">
        <v>2960</v>
      </c>
      <c r="D774" s="752" t="s">
        <v>2017</v>
      </c>
      <c r="E774" s="752" t="s">
        <v>204</v>
      </c>
      <c r="F774" s="751">
        <v>470</v>
      </c>
      <c r="G774" s="752" t="s">
        <v>59</v>
      </c>
      <c r="H774" s="752" t="s">
        <v>1244</v>
      </c>
      <c r="I774" s="752" t="s">
        <v>60</v>
      </c>
      <c r="J774" s="751">
        <v>22</v>
      </c>
      <c r="K774" s="751">
        <v>3</v>
      </c>
      <c r="L774" s="752" t="s">
        <v>57</v>
      </c>
      <c r="M774" s="752" t="s">
        <v>44</v>
      </c>
      <c r="N774" s="752" t="s">
        <v>48</v>
      </c>
      <c r="O774" s="752" t="s">
        <v>48</v>
      </c>
      <c r="P774" s="752" t="s">
        <v>49</v>
      </c>
      <c r="Q774" s="753">
        <v>0</v>
      </c>
      <c r="R774" s="753">
        <v>0</v>
      </c>
      <c r="S774" s="753">
        <v>0</v>
      </c>
      <c r="T774" s="753">
        <v>0</v>
      </c>
      <c r="U774" s="753">
        <v>0</v>
      </c>
      <c r="V774" s="751">
        <v>2019</v>
      </c>
      <c r="W774" s="222"/>
      <c r="X774" s="186" t="str">
        <f t="shared" si="38"/>
        <v/>
      </c>
      <c r="Y774" s="178" t="str">
        <f t="shared" si="36"/>
        <v/>
      </c>
      <c r="Z774" s="178" t="str">
        <f t="shared" si="37"/>
        <v/>
      </c>
      <c r="AA774" s="44"/>
      <c r="AB774" s="65"/>
    </row>
    <row r="775" spans="1:28" ht="25" hidden="1">
      <c r="A775" s="751">
        <v>50472</v>
      </c>
      <c r="B775" s="752" t="s">
        <v>56</v>
      </c>
      <c r="C775" s="751" t="s">
        <v>2960</v>
      </c>
      <c r="D775" s="752" t="s">
        <v>2017</v>
      </c>
      <c r="E775" s="752" t="s">
        <v>204</v>
      </c>
      <c r="F775" s="751">
        <v>470</v>
      </c>
      <c r="G775" s="752" t="s">
        <v>59</v>
      </c>
      <c r="H775" s="752" t="s">
        <v>1244</v>
      </c>
      <c r="I775" s="752" t="s">
        <v>60</v>
      </c>
      <c r="J775" s="751">
        <v>22</v>
      </c>
      <c r="K775" s="751">
        <v>3</v>
      </c>
      <c r="L775" s="752" t="s">
        <v>57</v>
      </c>
      <c r="M775" s="752" t="s">
        <v>44</v>
      </c>
      <c r="N775" s="752" t="s">
        <v>18</v>
      </c>
      <c r="O775" s="752" t="s">
        <v>66</v>
      </c>
      <c r="P775" s="752" t="s">
        <v>47</v>
      </c>
      <c r="Q775" s="753">
        <v>500240</v>
      </c>
      <c r="R775" s="753">
        <v>63779</v>
      </c>
      <c r="S775" s="753">
        <v>3616859</v>
      </c>
      <c r="T775" s="753">
        <v>461363</v>
      </c>
      <c r="U775" s="753">
        <v>67866.587</v>
      </c>
      <c r="V775" s="751">
        <v>2019</v>
      </c>
      <c r="W775" s="222"/>
      <c r="X775" s="186">
        <f t="shared" si="38"/>
        <v>6.7980875478532612</v>
      </c>
      <c r="Y775" s="178" t="str">
        <f t="shared" ref="Y775:Y838" si="39">IF(AND($M775=$Y$2,$N775=$Y$3,NOT($Q775=$R775),NOT($U775=0)),IF($K775=5,$S775/($U775+(8/5)*$U775),IF($K775=7,$S775/($U775+(29/25)*$U775),"")),"")</f>
        <v/>
      </c>
      <c r="Z775" s="178" t="str">
        <f t="shared" ref="Z775:Z838" si="40">IF(AND($M775=$Y$2,$N775=$Y$4,NOT($Q775=$R775),NOT($U775=0)),IF($K775=5,$S775/($U775+(8/5)*$U775),IF($K775=7,$S775/($U775+(29/25)*$U775),"")),"")</f>
        <v/>
      </c>
      <c r="AA775" s="44"/>
      <c r="AB775" s="65"/>
    </row>
    <row r="776" spans="1:28" ht="25" hidden="1">
      <c r="A776" s="751">
        <v>50472</v>
      </c>
      <c r="B776" s="752" t="s">
        <v>56</v>
      </c>
      <c r="C776" s="751" t="s">
        <v>2960</v>
      </c>
      <c r="D776" s="752" t="s">
        <v>2017</v>
      </c>
      <c r="E776" s="752" t="s">
        <v>204</v>
      </c>
      <c r="F776" s="751">
        <v>470</v>
      </c>
      <c r="G776" s="752" t="s">
        <v>59</v>
      </c>
      <c r="H776" s="752" t="s">
        <v>1244</v>
      </c>
      <c r="I776" s="752" t="s">
        <v>60</v>
      </c>
      <c r="J776" s="751">
        <v>22</v>
      </c>
      <c r="K776" s="751">
        <v>3</v>
      </c>
      <c r="L776" s="752" t="s">
        <v>57</v>
      </c>
      <c r="M776" s="752" t="s">
        <v>44</v>
      </c>
      <c r="N776" s="752" t="s">
        <v>19</v>
      </c>
      <c r="O776" s="752" t="s">
        <v>84</v>
      </c>
      <c r="P776" s="752" t="s">
        <v>47</v>
      </c>
      <c r="Q776" s="753">
        <v>319826</v>
      </c>
      <c r="R776" s="753">
        <v>40779</v>
      </c>
      <c r="S776" s="753">
        <v>4420541</v>
      </c>
      <c r="T776" s="753">
        <v>563881</v>
      </c>
      <c r="U776" s="753">
        <v>82946.846000000005</v>
      </c>
      <c r="V776" s="751">
        <v>2019</v>
      </c>
      <c r="W776" s="222"/>
      <c r="X776" s="186">
        <f t="shared" si="38"/>
        <v>6.7981005570724164</v>
      </c>
      <c r="Y776" s="178" t="str">
        <f t="shared" si="39"/>
        <v/>
      </c>
      <c r="Z776" s="178" t="str">
        <f t="shared" si="40"/>
        <v/>
      </c>
      <c r="AA776" s="44"/>
      <c r="AB776" s="65"/>
    </row>
    <row r="777" spans="1:28" hidden="1">
      <c r="A777" s="751">
        <v>50472</v>
      </c>
      <c r="B777" s="752" t="s">
        <v>56</v>
      </c>
      <c r="C777" s="751" t="s">
        <v>2960</v>
      </c>
      <c r="D777" s="752" t="s">
        <v>2017</v>
      </c>
      <c r="E777" s="752" t="s">
        <v>204</v>
      </c>
      <c r="F777" s="751">
        <v>470</v>
      </c>
      <c r="G777" s="752" t="s">
        <v>59</v>
      </c>
      <c r="H777" s="752" t="s">
        <v>1244</v>
      </c>
      <c r="I777" s="752" t="s">
        <v>60</v>
      </c>
      <c r="J777" s="751">
        <v>22</v>
      </c>
      <c r="K777" s="751">
        <v>3</v>
      </c>
      <c r="L777" s="752" t="s">
        <v>57</v>
      </c>
      <c r="M777" s="752" t="s">
        <v>44</v>
      </c>
      <c r="N777" s="752" t="s">
        <v>41</v>
      </c>
      <c r="O777" s="752" t="s">
        <v>41</v>
      </c>
      <c r="P777" s="752" t="s">
        <v>1091</v>
      </c>
      <c r="Q777" s="753">
        <v>655597</v>
      </c>
      <c r="R777" s="753">
        <v>82452</v>
      </c>
      <c r="S777" s="753">
        <v>655597</v>
      </c>
      <c r="T777" s="753">
        <v>82452</v>
      </c>
      <c r="U777" s="753">
        <v>12027.566999999999</v>
      </c>
      <c r="V777" s="751">
        <v>2019</v>
      </c>
      <c r="W777" s="222"/>
      <c r="X777" s="186">
        <f t="shared" si="38"/>
        <v>6.8552517728647873</v>
      </c>
      <c r="Y777" s="178" t="str">
        <f t="shared" si="39"/>
        <v/>
      </c>
      <c r="Z777" s="178" t="str">
        <f t="shared" si="40"/>
        <v/>
      </c>
      <c r="AA777" s="44"/>
      <c r="AB777" s="65"/>
    </row>
    <row r="778" spans="1:28" hidden="1">
      <c r="A778" s="751">
        <v>50498</v>
      </c>
      <c r="B778" s="752" t="s">
        <v>56</v>
      </c>
      <c r="C778" s="751" t="s">
        <v>2960</v>
      </c>
      <c r="D778" s="752" t="s">
        <v>247</v>
      </c>
      <c r="E778" s="752" t="s">
        <v>247</v>
      </c>
      <c r="F778" s="751">
        <v>2956</v>
      </c>
      <c r="G778" s="752" t="s">
        <v>43</v>
      </c>
      <c r="H778" s="752" t="s">
        <v>1245</v>
      </c>
      <c r="I778" s="752" t="s">
        <v>60</v>
      </c>
      <c r="J778" s="751">
        <v>22</v>
      </c>
      <c r="K778" s="751">
        <v>3</v>
      </c>
      <c r="L778" s="752" t="s">
        <v>57</v>
      </c>
      <c r="M778" s="752" t="s">
        <v>40</v>
      </c>
      <c r="N778" s="752" t="s">
        <v>48</v>
      </c>
      <c r="O778" s="752" t="s">
        <v>48</v>
      </c>
      <c r="P778" s="752" t="s">
        <v>49</v>
      </c>
      <c r="Q778" s="753">
        <v>0</v>
      </c>
      <c r="R778" s="753">
        <v>0</v>
      </c>
      <c r="S778" s="753">
        <v>0</v>
      </c>
      <c r="T778" s="753">
        <v>0</v>
      </c>
      <c r="U778" s="753">
        <v>0</v>
      </c>
      <c r="V778" s="751">
        <v>2019</v>
      </c>
      <c r="W778" s="222"/>
      <c r="X778" s="186" t="str">
        <f t="shared" si="38"/>
        <v/>
      </c>
      <c r="Y778" s="178" t="str">
        <f t="shared" si="39"/>
        <v/>
      </c>
      <c r="Z778" s="178" t="str">
        <f t="shared" si="40"/>
        <v/>
      </c>
      <c r="AA778" s="44"/>
      <c r="AB778" s="65"/>
    </row>
    <row r="779" spans="1:28" hidden="1">
      <c r="A779" s="751">
        <v>50498</v>
      </c>
      <c r="B779" s="752" t="s">
        <v>56</v>
      </c>
      <c r="C779" s="751" t="s">
        <v>2960</v>
      </c>
      <c r="D779" s="752" t="s">
        <v>247</v>
      </c>
      <c r="E779" s="752" t="s">
        <v>247</v>
      </c>
      <c r="F779" s="751">
        <v>2956</v>
      </c>
      <c r="G779" s="752" t="s">
        <v>43</v>
      </c>
      <c r="H779" s="752" t="s">
        <v>1245</v>
      </c>
      <c r="I779" s="752" t="s">
        <v>60</v>
      </c>
      <c r="J779" s="751">
        <v>22</v>
      </c>
      <c r="K779" s="751">
        <v>3</v>
      </c>
      <c r="L779" s="752" t="s">
        <v>57</v>
      </c>
      <c r="M779" s="752" t="s">
        <v>40</v>
      </c>
      <c r="N779" s="752" t="s">
        <v>41</v>
      </c>
      <c r="O779" s="752" t="s">
        <v>41</v>
      </c>
      <c r="P779" s="752" t="s">
        <v>1091</v>
      </c>
      <c r="Q779" s="753">
        <v>4367</v>
      </c>
      <c r="R779" s="753">
        <v>4367</v>
      </c>
      <c r="S779" s="753">
        <v>4480</v>
      </c>
      <c r="T779" s="753">
        <v>4480</v>
      </c>
      <c r="U779" s="753">
        <v>1739</v>
      </c>
      <c r="V779" s="751">
        <v>2019</v>
      </c>
      <c r="W779" s="222"/>
      <c r="X779" s="186"/>
      <c r="Y779" s="178" t="str">
        <f t="shared" si="39"/>
        <v/>
      </c>
      <c r="Z779" s="178" t="str">
        <f t="shared" si="40"/>
        <v/>
      </c>
      <c r="AA779" s="44"/>
      <c r="AB779" s="65"/>
    </row>
    <row r="780" spans="1:28" hidden="1">
      <c r="A780" s="751">
        <v>50498</v>
      </c>
      <c r="B780" s="752" t="s">
        <v>56</v>
      </c>
      <c r="C780" s="751" t="s">
        <v>2960</v>
      </c>
      <c r="D780" s="752" t="s">
        <v>247</v>
      </c>
      <c r="E780" s="752" t="s">
        <v>247</v>
      </c>
      <c r="F780" s="751">
        <v>2956</v>
      </c>
      <c r="G780" s="752" t="s">
        <v>43</v>
      </c>
      <c r="H780" s="752" t="s">
        <v>1245</v>
      </c>
      <c r="I780" s="752" t="s">
        <v>60</v>
      </c>
      <c r="J780" s="751">
        <v>22</v>
      </c>
      <c r="K780" s="751">
        <v>3</v>
      </c>
      <c r="L780" s="752" t="s">
        <v>57</v>
      </c>
      <c r="M780" s="752" t="s">
        <v>43</v>
      </c>
      <c r="N780" s="752" t="s">
        <v>48</v>
      </c>
      <c r="O780" s="752" t="s">
        <v>48</v>
      </c>
      <c r="P780" s="752" t="s">
        <v>49</v>
      </c>
      <c r="Q780" s="753">
        <v>0</v>
      </c>
      <c r="R780" s="753">
        <v>0</v>
      </c>
      <c r="S780" s="753">
        <v>0</v>
      </c>
      <c r="T780" s="753">
        <v>0</v>
      </c>
      <c r="U780" s="753">
        <v>0</v>
      </c>
      <c r="V780" s="751">
        <v>2019</v>
      </c>
      <c r="W780" s="222"/>
      <c r="X780" s="186"/>
      <c r="Y780" s="178" t="str">
        <f t="shared" si="39"/>
        <v/>
      </c>
      <c r="Z780" s="178" t="str">
        <f t="shared" si="40"/>
        <v/>
      </c>
      <c r="AA780" s="44"/>
      <c r="AB780" s="65"/>
    </row>
    <row r="781" spans="1:28" hidden="1">
      <c r="A781" s="751">
        <v>50498</v>
      </c>
      <c r="B781" s="752" t="s">
        <v>56</v>
      </c>
      <c r="C781" s="751" t="s">
        <v>2960</v>
      </c>
      <c r="D781" s="752" t="s">
        <v>247</v>
      </c>
      <c r="E781" s="752" t="s">
        <v>247</v>
      </c>
      <c r="F781" s="751">
        <v>2956</v>
      </c>
      <c r="G781" s="752" t="s">
        <v>43</v>
      </c>
      <c r="H781" s="752" t="s">
        <v>1245</v>
      </c>
      <c r="I781" s="752" t="s">
        <v>60</v>
      </c>
      <c r="J781" s="751">
        <v>22</v>
      </c>
      <c r="K781" s="751">
        <v>3</v>
      </c>
      <c r="L781" s="752" t="s">
        <v>57</v>
      </c>
      <c r="M781" s="752" t="s">
        <v>43</v>
      </c>
      <c r="N781" s="752" t="s">
        <v>41</v>
      </c>
      <c r="O781" s="752" t="s">
        <v>41</v>
      </c>
      <c r="P781" s="752" t="s">
        <v>1091</v>
      </c>
      <c r="Q781" s="753">
        <v>64488</v>
      </c>
      <c r="R781" s="753">
        <v>64488</v>
      </c>
      <c r="S781" s="753">
        <v>66165</v>
      </c>
      <c r="T781" s="753">
        <v>66165</v>
      </c>
      <c r="U781" s="753">
        <v>4363</v>
      </c>
      <c r="V781" s="751">
        <v>2019</v>
      </c>
      <c r="W781" s="222"/>
      <c r="X781" s="186"/>
      <c r="Y781" s="178" t="str">
        <f t="shared" si="39"/>
        <v/>
      </c>
      <c r="Z781" s="178" t="str">
        <f t="shared" si="40"/>
        <v/>
      </c>
      <c r="AA781" s="44"/>
      <c r="AB781" s="65"/>
    </row>
    <row r="782" spans="1:28" hidden="1">
      <c r="A782" s="751">
        <v>50512</v>
      </c>
      <c r="B782" s="752" t="s">
        <v>35</v>
      </c>
      <c r="C782" s="751" t="s">
        <v>2960</v>
      </c>
      <c r="D782" s="752" t="s">
        <v>936</v>
      </c>
      <c r="E782" s="752" t="s">
        <v>2018</v>
      </c>
      <c r="F782" s="751">
        <v>60779</v>
      </c>
      <c r="G782" s="752" t="s">
        <v>59</v>
      </c>
      <c r="H782" s="752" t="s">
        <v>1244</v>
      </c>
      <c r="I782" s="752" t="s">
        <v>60</v>
      </c>
      <c r="J782" s="751">
        <v>22</v>
      </c>
      <c r="K782" s="751">
        <v>2</v>
      </c>
      <c r="L782" s="752" t="s">
        <v>54</v>
      </c>
      <c r="M782" s="752" t="s">
        <v>37</v>
      </c>
      <c r="N782" s="752" t="s">
        <v>38</v>
      </c>
      <c r="O782" s="752" t="s">
        <v>39</v>
      </c>
      <c r="P782" s="752" t="s">
        <v>1238</v>
      </c>
      <c r="Q782" s="753">
        <v>0</v>
      </c>
      <c r="R782" s="753">
        <v>0</v>
      </c>
      <c r="S782" s="753">
        <v>1648158</v>
      </c>
      <c r="T782" s="753">
        <v>1648158</v>
      </c>
      <c r="U782" s="753">
        <v>185103</v>
      </c>
      <c r="V782" s="751">
        <v>2019</v>
      </c>
      <c r="W782" s="222"/>
      <c r="X782" s="186"/>
      <c r="Y782" s="178" t="str">
        <f t="shared" si="39"/>
        <v/>
      </c>
      <c r="Z782" s="178" t="str">
        <f t="shared" si="40"/>
        <v/>
      </c>
      <c r="AA782" s="44"/>
      <c r="AB782" s="65"/>
    </row>
    <row r="783" spans="1:28" hidden="1">
      <c r="A783" s="751">
        <v>50513</v>
      </c>
      <c r="B783" s="752" t="s">
        <v>35</v>
      </c>
      <c r="C783" s="751" t="s">
        <v>2960</v>
      </c>
      <c r="D783" s="752" t="s">
        <v>937</v>
      </c>
      <c r="E783" s="752" t="s">
        <v>938</v>
      </c>
      <c r="F783" s="751">
        <v>18121</v>
      </c>
      <c r="G783" s="752" t="s">
        <v>59</v>
      </c>
      <c r="H783" s="752" t="s">
        <v>1244</v>
      </c>
      <c r="I783" s="752" t="s">
        <v>60</v>
      </c>
      <c r="J783" s="751">
        <v>22</v>
      </c>
      <c r="K783" s="751">
        <v>2</v>
      </c>
      <c r="L783" s="752" t="s">
        <v>54</v>
      </c>
      <c r="M783" s="752" t="s">
        <v>37</v>
      </c>
      <c r="N783" s="752" t="s">
        <v>38</v>
      </c>
      <c r="O783" s="752" t="s">
        <v>39</v>
      </c>
      <c r="P783" s="752" t="s">
        <v>1238</v>
      </c>
      <c r="Q783" s="753">
        <v>0</v>
      </c>
      <c r="R783" s="753">
        <v>0</v>
      </c>
      <c r="S783" s="753">
        <v>51365</v>
      </c>
      <c r="T783" s="753">
        <v>51365</v>
      </c>
      <c r="U783" s="753">
        <v>5769</v>
      </c>
      <c r="V783" s="751">
        <v>2019</v>
      </c>
      <c r="W783" s="222"/>
      <c r="X783" s="186"/>
      <c r="Y783" s="178" t="str">
        <f t="shared" si="39"/>
        <v/>
      </c>
      <c r="Z783" s="178" t="str">
        <f t="shared" si="40"/>
        <v/>
      </c>
      <c r="AA783" s="44"/>
      <c r="AB783" s="65"/>
    </row>
    <row r="784" spans="1:28" hidden="1">
      <c r="A784" s="751">
        <v>50514</v>
      </c>
      <c r="B784" s="752" t="s">
        <v>35</v>
      </c>
      <c r="C784" s="751" t="s">
        <v>2960</v>
      </c>
      <c r="D784" s="752" t="s">
        <v>939</v>
      </c>
      <c r="E784" s="752" t="s">
        <v>940</v>
      </c>
      <c r="F784" s="751">
        <v>6495</v>
      </c>
      <c r="G784" s="752" t="s">
        <v>59</v>
      </c>
      <c r="H784" s="752" t="s">
        <v>1244</v>
      </c>
      <c r="I784" s="752" t="s">
        <v>60</v>
      </c>
      <c r="J784" s="751">
        <v>22</v>
      </c>
      <c r="K784" s="751">
        <v>2</v>
      </c>
      <c r="L784" s="752" t="s">
        <v>54</v>
      </c>
      <c r="M784" s="752" t="s">
        <v>37</v>
      </c>
      <c r="N784" s="752" t="s">
        <v>38</v>
      </c>
      <c r="O784" s="752" t="s">
        <v>39</v>
      </c>
      <c r="P784" s="752" t="s">
        <v>1238</v>
      </c>
      <c r="Q784" s="753">
        <v>0</v>
      </c>
      <c r="R784" s="753">
        <v>0</v>
      </c>
      <c r="S784" s="753">
        <v>150587</v>
      </c>
      <c r="T784" s="753">
        <v>150587</v>
      </c>
      <c r="U784" s="753">
        <v>16912</v>
      </c>
      <c r="V784" s="751">
        <v>2019</v>
      </c>
      <c r="W784" s="222"/>
      <c r="X784" s="186"/>
      <c r="Y784" s="178" t="str">
        <f t="shared" si="39"/>
        <v/>
      </c>
      <c r="Z784" s="178" t="str">
        <f t="shared" si="40"/>
        <v/>
      </c>
      <c r="AA784" s="44"/>
      <c r="AB784" s="65"/>
    </row>
    <row r="785" spans="1:28" hidden="1">
      <c r="A785" s="751">
        <v>50539</v>
      </c>
      <c r="B785" s="752" t="s">
        <v>35</v>
      </c>
      <c r="C785" s="751" t="s">
        <v>2960</v>
      </c>
      <c r="D785" s="752" t="s">
        <v>941</v>
      </c>
      <c r="E785" s="752" t="s">
        <v>941</v>
      </c>
      <c r="F785" s="751">
        <v>1966</v>
      </c>
      <c r="G785" s="752" t="s">
        <v>91</v>
      </c>
      <c r="H785" s="752" t="s">
        <v>1245</v>
      </c>
      <c r="I785" s="752" t="s">
        <v>60</v>
      </c>
      <c r="J785" s="751">
        <v>22</v>
      </c>
      <c r="K785" s="751">
        <v>2</v>
      </c>
      <c r="L785" s="752" t="s">
        <v>54</v>
      </c>
      <c r="M785" s="752" t="s">
        <v>37</v>
      </c>
      <c r="N785" s="752" t="s">
        <v>38</v>
      </c>
      <c r="O785" s="752" t="s">
        <v>39</v>
      </c>
      <c r="P785" s="752" t="s">
        <v>1238</v>
      </c>
      <c r="Q785" s="753">
        <v>0</v>
      </c>
      <c r="R785" s="753">
        <v>0</v>
      </c>
      <c r="S785" s="753">
        <v>37146</v>
      </c>
      <c r="T785" s="753">
        <v>37146</v>
      </c>
      <c r="U785" s="753">
        <v>4172</v>
      </c>
      <c r="V785" s="751">
        <v>2019</v>
      </c>
      <c r="W785" s="222"/>
      <c r="X785" s="186"/>
      <c r="Y785" s="178" t="str">
        <f t="shared" si="39"/>
        <v/>
      </c>
      <c r="Z785" s="178" t="str">
        <f t="shared" si="40"/>
        <v/>
      </c>
      <c r="AA785" s="44"/>
      <c r="AB785" s="65"/>
    </row>
    <row r="786" spans="1:28" hidden="1">
      <c r="A786" s="751">
        <v>50545</v>
      </c>
      <c r="B786" s="752" t="s">
        <v>35</v>
      </c>
      <c r="C786" s="751" t="s">
        <v>2960</v>
      </c>
      <c r="D786" s="752" t="s">
        <v>942</v>
      </c>
      <c r="E786" s="752" t="s">
        <v>943</v>
      </c>
      <c r="F786" s="751">
        <v>23576</v>
      </c>
      <c r="G786" s="752" t="s">
        <v>83</v>
      </c>
      <c r="H786" s="752" t="s">
        <v>1245</v>
      </c>
      <c r="I786" s="752" t="s">
        <v>60</v>
      </c>
      <c r="J786" s="751">
        <v>22</v>
      </c>
      <c r="K786" s="751">
        <v>2</v>
      </c>
      <c r="L786" s="752" t="s">
        <v>54</v>
      </c>
      <c r="M786" s="752" t="s">
        <v>37</v>
      </c>
      <c r="N786" s="752" t="s">
        <v>38</v>
      </c>
      <c r="O786" s="752" t="s">
        <v>39</v>
      </c>
      <c r="P786" s="752" t="s">
        <v>1238</v>
      </c>
      <c r="Q786" s="753">
        <v>0</v>
      </c>
      <c r="R786" s="753">
        <v>0</v>
      </c>
      <c r="S786" s="753">
        <v>643696</v>
      </c>
      <c r="T786" s="753">
        <v>643696</v>
      </c>
      <c r="U786" s="753">
        <v>72293</v>
      </c>
      <c r="V786" s="751">
        <v>2019</v>
      </c>
      <c r="W786" s="222"/>
      <c r="X786" s="186"/>
      <c r="Y786" s="178" t="str">
        <f t="shared" si="39"/>
        <v/>
      </c>
      <c r="Z786" s="178" t="str">
        <f t="shared" si="40"/>
        <v/>
      </c>
      <c r="AA786" s="44"/>
      <c r="AB786" s="65"/>
    </row>
    <row r="787" spans="1:28" hidden="1">
      <c r="A787" s="751">
        <v>50564</v>
      </c>
      <c r="B787" s="752" t="s">
        <v>35</v>
      </c>
      <c r="C787" s="751" t="s">
        <v>2960</v>
      </c>
      <c r="D787" s="752" t="s">
        <v>944</v>
      </c>
      <c r="E787" s="752" t="s">
        <v>945</v>
      </c>
      <c r="F787" s="751">
        <v>54842</v>
      </c>
      <c r="G787" s="752" t="s">
        <v>43</v>
      </c>
      <c r="H787" s="752" t="s">
        <v>1245</v>
      </c>
      <c r="I787" s="752" t="s">
        <v>60</v>
      </c>
      <c r="J787" s="751">
        <v>22</v>
      </c>
      <c r="K787" s="751">
        <v>2</v>
      </c>
      <c r="L787" s="752" t="s">
        <v>54</v>
      </c>
      <c r="M787" s="752" t="s">
        <v>53</v>
      </c>
      <c r="N787" s="752" t="s">
        <v>65</v>
      </c>
      <c r="O787" s="752" t="s">
        <v>66</v>
      </c>
      <c r="P787" s="752" t="s">
        <v>1091</v>
      </c>
      <c r="Q787" s="753">
        <v>169039</v>
      </c>
      <c r="R787" s="753">
        <v>169039</v>
      </c>
      <c r="S787" s="753">
        <v>88406</v>
      </c>
      <c r="T787" s="753">
        <v>88406</v>
      </c>
      <c r="U787" s="753">
        <v>7124</v>
      </c>
      <c r="V787" s="751">
        <v>2019</v>
      </c>
      <c r="W787" s="222"/>
      <c r="X787" s="186"/>
      <c r="Y787" s="178" t="str">
        <f t="shared" si="39"/>
        <v/>
      </c>
      <c r="Z787" s="178" t="str">
        <f t="shared" si="40"/>
        <v/>
      </c>
      <c r="AA787" s="44"/>
      <c r="AB787" s="65"/>
    </row>
    <row r="788" spans="1:28" hidden="1">
      <c r="A788" s="751">
        <v>50565</v>
      </c>
      <c r="B788" s="752" t="s">
        <v>35</v>
      </c>
      <c r="C788" s="751" t="s">
        <v>2960</v>
      </c>
      <c r="D788" s="752" t="s">
        <v>946</v>
      </c>
      <c r="E788" s="752" t="s">
        <v>945</v>
      </c>
      <c r="F788" s="751">
        <v>54842</v>
      </c>
      <c r="G788" s="752" t="s">
        <v>59</v>
      </c>
      <c r="H788" s="752" t="s">
        <v>1244</v>
      </c>
      <c r="I788" s="752" t="s">
        <v>60</v>
      </c>
      <c r="J788" s="751">
        <v>22</v>
      </c>
      <c r="K788" s="751">
        <v>2</v>
      </c>
      <c r="L788" s="752" t="s">
        <v>54</v>
      </c>
      <c r="M788" s="752" t="s">
        <v>53</v>
      </c>
      <c r="N788" s="752" t="s">
        <v>65</v>
      </c>
      <c r="O788" s="752" t="s">
        <v>66</v>
      </c>
      <c r="P788" s="752" t="s">
        <v>1091</v>
      </c>
      <c r="Q788" s="753">
        <v>118154</v>
      </c>
      <c r="R788" s="753">
        <v>118154</v>
      </c>
      <c r="S788" s="753">
        <v>65929</v>
      </c>
      <c r="T788" s="753">
        <v>65929</v>
      </c>
      <c r="U788" s="753">
        <v>4623</v>
      </c>
      <c r="V788" s="751">
        <v>2019</v>
      </c>
      <c r="W788" s="222"/>
      <c r="X788" s="186"/>
      <c r="Y788" s="178" t="str">
        <f t="shared" si="39"/>
        <v/>
      </c>
      <c r="Z788" s="178" t="str">
        <f t="shared" si="40"/>
        <v/>
      </c>
      <c r="AA788" s="44"/>
      <c r="AB788" s="65"/>
    </row>
    <row r="789" spans="1:28" hidden="1">
      <c r="A789" s="751">
        <v>50568</v>
      </c>
      <c r="B789" s="752" t="s">
        <v>35</v>
      </c>
      <c r="C789" s="751" t="s">
        <v>2960</v>
      </c>
      <c r="D789" s="752" t="s">
        <v>947</v>
      </c>
      <c r="E789" s="752" t="s">
        <v>945</v>
      </c>
      <c r="F789" s="751">
        <v>54842</v>
      </c>
      <c r="G789" s="752" t="s">
        <v>59</v>
      </c>
      <c r="H789" s="752" t="s">
        <v>1244</v>
      </c>
      <c r="I789" s="752" t="s">
        <v>60</v>
      </c>
      <c r="J789" s="751">
        <v>22</v>
      </c>
      <c r="K789" s="751">
        <v>2</v>
      </c>
      <c r="L789" s="752" t="s">
        <v>54</v>
      </c>
      <c r="M789" s="752" t="s">
        <v>53</v>
      </c>
      <c r="N789" s="752" t="s">
        <v>65</v>
      </c>
      <c r="O789" s="752" t="s">
        <v>66</v>
      </c>
      <c r="P789" s="752" t="s">
        <v>1091</v>
      </c>
      <c r="Q789" s="753">
        <v>1410963</v>
      </c>
      <c r="R789" s="753">
        <v>1410963</v>
      </c>
      <c r="S789" s="753">
        <v>721003</v>
      </c>
      <c r="T789" s="753">
        <v>721003</v>
      </c>
      <c r="U789" s="753">
        <v>65666</v>
      </c>
      <c r="V789" s="751">
        <v>2019</v>
      </c>
      <c r="W789" s="222"/>
      <c r="X789" s="186">
        <f t="shared" ref="X789:X800" si="41">IF(OR(K789&gt;3,T789=0,NOT(U789&gt;0)),"",T789/U789)</f>
        <v>10.979852587335913</v>
      </c>
      <c r="Y789" s="178" t="str">
        <f t="shared" si="39"/>
        <v/>
      </c>
      <c r="Z789" s="178" t="str">
        <f t="shared" si="40"/>
        <v/>
      </c>
      <c r="AA789" s="44"/>
      <c r="AB789" s="65"/>
    </row>
    <row r="790" spans="1:28" ht="25" hidden="1">
      <c r="A790" s="751">
        <v>50621</v>
      </c>
      <c r="B790" s="752" t="s">
        <v>56</v>
      </c>
      <c r="C790" s="751" t="s">
        <v>2960</v>
      </c>
      <c r="D790" s="752" t="s">
        <v>2019</v>
      </c>
      <c r="E790" s="752" t="s">
        <v>2020</v>
      </c>
      <c r="F790" s="751">
        <v>18000</v>
      </c>
      <c r="G790" s="752" t="s">
        <v>136</v>
      </c>
      <c r="H790" s="752" t="s">
        <v>1245</v>
      </c>
      <c r="I790" s="752" t="s">
        <v>60</v>
      </c>
      <c r="J790" s="751">
        <v>622</v>
      </c>
      <c r="K790" s="751">
        <v>5</v>
      </c>
      <c r="L790" s="752" t="s">
        <v>423</v>
      </c>
      <c r="M790" s="752" t="s">
        <v>52</v>
      </c>
      <c r="N790" s="752" t="s">
        <v>48</v>
      </c>
      <c r="O790" s="752" t="s">
        <v>48</v>
      </c>
      <c r="P790" s="752" t="s">
        <v>49</v>
      </c>
      <c r="Q790" s="753">
        <v>3</v>
      </c>
      <c r="R790" s="753">
        <v>1</v>
      </c>
      <c r="S790" s="753">
        <v>17</v>
      </c>
      <c r="T790" s="753">
        <v>5</v>
      </c>
      <c r="U790" s="753">
        <v>1.004</v>
      </c>
      <c r="V790" s="751">
        <v>2019</v>
      </c>
      <c r="W790" s="222"/>
      <c r="X790" s="186" t="str">
        <f t="shared" si="41"/>
        <v/>
      </c>
      <c r="Y790" s="178" t="str">
        <f t="shared" si="39"/>
        <v/>
      </c>
      <c r="Z790" s="178">
        <f t="shared" si="40"/>
        <v>6.5124118908979458</v>
      </c>
      <c r="AA790" s="44"/>
      <c r="AB790" s="65"/>
    </row>
    <row r="791" spans="1:28" ht="25" hidden="1">
      <c r="A791" s="751">
        <v>50621</v>
      </c>
      <c r="B791" s="752" t="s">
        <v>56</v>
      </c>
      <c r="C791" s="751" t="s">
        <v>2960</v>
      </c>
      <c r="D791" s="752" t="s">
        <v>2019</v>
      </c>
      <c r="E791" s="752" t="s">
        <v>2020</v>
      </c>
      <c r="F791" s="751">
        <v>18000</v>
      </c>
      <c r="G791" s="752" t="s">
        <v>136</v>
      </c>
      <c r="H791" s="752" t="s">
        <v>1245</v>
      </c>
      <c r="I791" s="752" t="s">
        <v>60</v>
      </c>
      <c r="J791" s="751">
        <v>622</v>
      </c>
      <c r="K791" s="751">
        <v>5</v>
      </c>
      <c r="L791" s="752" t="s">
        <v>423</v>
      </c>
      <c r="M791" s="752" t="s">
        <v>52</v>
      </c>
      <c r="N791" s="752" t="s">
        <v>41</v>
      </c>
      <c r="O791" s="752" t="s">
        <v>41</v>
      </c>
      <c r="P791" s="752" t="s">
        <v>1091</v>
      </c>
      <c r="Q791" s="753">
        <v>413833</v>
      </c>
      <c r="R791" s="753">
        <v>123774</v>
      </c>
      <c r="S791" s="753">
        <v>429635</v>
      </c>
      <c r="T791" s="753">
        <v>128500</v>
      </c>
      <c r="U791" s="753">
        <v>25031.995999999999</v>
      </c>
      <c r="V791" s="751">
        <v>2019</v>
      </c>
      <c r="W791" s="222"/>
      <c r="X791" s="186" t="str">
        <f t="shared" si="41"/>
        <v/>
      </c>
      <c r="Y791" s="178">
        <f t="shared" si="39"/>
        <v>6.6013205966168567</v>
      </c>
      <c r="Z791" s="178" t="str">
        <f t="shared" si="40"/>
        <v/>
      </c>
      <c r="AA791" s="44"/>
      <c r="AB791" s="65"/>
    </row>
    <row r="792" spans="1:28" ht="25" hidden="1">
      <c r="A792" s="751">
        <v>50621</v>
      </c>
      <c r="B792" s="752" t="s">
        <v>56</v>
      </c>
      <c r="C792" s="751" t="s">
        <v>2960</v>
      </c>
      <c r="D792" s="752" t="s">
        <v>2019</v>
      </c>
      <c r="E792" s="752" t="s">
        <v>2020</v>
      </c>
      <c r="F792" s="751">
        <v>18000</v>
      </c>
      <c r="G792" s="752" t="s">
        <v>136</v>
      </c>
      <c r="H792" s="752" t="s">
        <v>1245</v>
      </c>
      <c r="I792" s="752" t="s">
        <v>60</v>
      </c>
      <c r="J792" s="751">
        <v>622</v>
      </c>
      <c r="K792" s="751">
        <v>5</v>
      </c>
      <c r="L792" s="752" t="s">
        <v>423</v>
      </c>
      <c r="M792" s="752" t="s">
        <v>52</v>
      </c>
      <c r="N792" s="752" t="s">
        <v>63</v>
      </c>
      <c r="O792" s="752" t="s">
        <v>63</v>
      </c>
      <c r="P792" s="752" t="s">
        <v>49</v>
      </c>
      <c r="Q792" s="753">
        <v>0</v>
      </c>
      <c r="R792" s="753">
        <v>0</v>
      </c>
      <c r="S792" s="753">
        <v>0</v>
      </c>
      <c r="T792" s="753">
        <v>0</v>
      </c>
      <c r="U792" s="753">
        <v>0</v>
      </c>
      <c r="V792" s="751">
        <v>2019</v>
      </c>
      <c r="W792" s="222"/>
      <c r="X792" s="186" t="str">
        <f t="shared" si="41"/>
        <v/>
      </c>
      <c r="Y792" s="178" t="str">
        <f t="shared" si="39"/>
        <v/>
      </c>
      <c r="Z792" s="178" t="str">
        <f t="shared" si="40"/>
        <v/>
      </c>
      <c r="AA792" s="44"/>
      <c r="AB792" s="65"/>
    </row>
    <row r="793" spans="1:28" ht="25" hidden="1">
      <c r="A793" s="751">
        <v>50621</v>
      </c>
      <c r="B793" s="752" t="s">
        <v>56</v>
      </c>
      <c r="C793" s="751" t="s">
        <v>2960</v>
      </c>
      <c r="D793" s="752" t="s">
        <v>2019</v>
      </c>
      <c r="E793" s="752" t="s">
        <v>2020</v>
      </c>
      <c r="F793" s="751">
        <v>18000</v>
      </c>
      <c r="G793" s="752" t="s">
        <v>136</v>
      </c>
      <c r="H793" s="752" t="s">
        <v>1245</v>
      </c>
      <c r="I793" s="752" t="s">
        <v>60</v>
      </c>
      <c r="J793" s="751">
        <v>622</v>
      </c>
      <c r="K793" s="751">
        <v>5</v>
      </c>
      <c r="L793" s="752" t="s">
        <v>423</v>
      </c>
      <c r="M793" s="752" t="s">
        <v>53</v>
      </c>
      <c r="N793" s="752" t="s">
        <v>41</v>
      </c>
      <c r="O793" s="752" t="s">
        <v>41</v>
      </c>
      <c r="P793" s="752" t="s">
        <v>1091</v>
      </c>
      <c r="Q793" s="753">
        <v>18848</v>
      </c>
      <c r="R793" s="753">
        <v>7341</v>
      </c>
      <c r="S793" s="753">
        <v>19564</v>
      </c>
      <c r="T793" s="753">
        <v>7619</v>
      </c>
      <c r="U793" s="753">
        <v>1742</v>
      </c>
      <c r="V793" s="751">
        <v>2019</v>
      </c>
      <c r="W793" s="222"/>
      <c r="X793" s="186" t="str">
        <f t="shared" si="41"/>
        <v/>
      </c>
      <c r="Y793" s="178" t="str">
        <f t="shared" si="39"/>
        <v/>
      </c>
      <c r="Z793" s="178" t="str">
        <f t="shared" si="40"/>
        <v/>
      </c>
      <c r="AA793" s="44"/>
      <c r="AB793" s="65"/>
    </row>
    <row r="794" spans="1:28" ht="25" hidden="1">
      <c r="A794" s="751">
        <v>50621</v>
      </c>
      <c r="B794" s="752" t="s">
        <v>56</v>
      </c>
      <c r="C794" s="751" t="s">
        <v>2960</v>
      </c>
      <c r="D794" s="752" t="s">
        <v>2019</v>
      </c>
      <c r="E794" s="752" t="s">
        <v>2020</v>
      </c>
      <c r="F794" s="751">
        <v>18000</v>
      </c>
      <c r="G794" s="752" t="s">
        <v>136</v>
      </c>
      <c r="H794" s="752" t="s">
        <v>1245</v>
      </c>
      <c r="I794" s="752" t="s">
        <v>60</v>
      </c>
      <c r="J794" s="751">
        <v>622</v>
      </c>
      <c r="K794" s="751">
        <v>5</v>
      </c>
      <c r="L794" s="752" t="s">
        <v>423</v>
      </c>
      <c r="M794" s="752" t="s">
        <v>44</v>
      </c>
      <c r="N794" s="752" t="s">
        <v>48</v>
      </c>
      <c r="O794" s="752" t="s">
        <v>48</v>
      </c>
      <c r="P794" s="752" t="s">
        <v>49</v>
      </c>
      <c r="Q794" s="753">
        <v>0</v>
      </c>
      <c r="R794" s="753">
        <v>0</v>
      </c>
      <c r="S794" s="753">
        <v>0</v>
      </c>
      <c r="T794" s="753">
        <v>0</v>
      </c>
      <c r="U794" s="753">
        <v>0</v>
      </c>
      <c r="V794" s="751">
        <v>2019</v>
      </c>
      <c r="W794" s="222"/>
      <c r="X794" s="186" t="str">
        <f t="shared" si="41"/>
        <v/>
      </c>
      <c r="Y794" s="178" t="str">
        <f t="shared" si="39"/>
        <v/>
      </c>
      <c r="Z794" s="178" t="str">
        <f t="shared" si="40"/>
        <v/>
      </c>
      <c r="AA794" s="44"/>
      <c r="AB794" s="65"/>
    </row>
    <row r="795" spans="1:28" ht="25" hidden="1">
      <c r="A795" s="751">
        <v>50621</v>
      </c>
      <c r="B795" s="752" t="s">
        <v>56</v>
      </c>
      <c r="C795" s="751" t="s">
        <v>2960</v>
      </c>
      <c r="D795" s="752" t="s">
        <v>2019</v>
      </c>
      <c r="E795" s="752" t="s">
        <v>2020</v>
      </c>
      <c r="F795" s="751">
        <v>18000</v>
      </c>
      <c r="G795" s="752" t="s">
        <v>136</v>
      </c>
      <c r="H795" s="752" t="s">
        <v>1245</v>
      </c>
      <c r="I795" s="752" t="s">
        <v>60</v>
      </c>
      <c r="J795" s="751">
        <v>622</v>
      </c>
      <c r="K795" s="751">
        <v>5</v>
      </c>
      <c r="L795" s="752" t="s">
        <v>423</v>
      </c>
      <c r="M795" s="752" t="s">
        <v>44</v>
      </c>
      <c r="N795" s="752" t="s">
        <v>41</v>
      </c>
      <c r="O795" s="752" t="s">
        <v>41</v>
      </c>
      <c r="P795" s="752" t="s">
        <v>1091</v>
      </c>
      <c r="Q795" s="753">
        <v>197692</v>
      </c>
      <c r="R795" s="753">
        <v>0</v>
      </c>
      <c r="S795" s="753">
        <v>205204</v>
      </c>
      <c r="T795" s="753">
        <v>0</v>
      </c>
      <c r="U795" s="753">
        <v>0</v>
      </c>
      <c r="V795" s="751">
        <v>2019</v>
      </c>
      <c r="W795" s="222"/>
      <c r="X795" s="186" t="str">
        <f t="shared" si="41"/>
        <v/>
      </c>
      <c r="Y795" s="178" t="str">
        <f t="shared" si="39"/>
        <v/>
      </c>
      <c r="Z795" s="178" t="str">
        <f t="shared" si="40"/>
        <v/>
      </c>
      <c r="AA795" s="44"/>
      <c r="AB795" s="65"/>
    </row>
    <row r="796" spans="1:28" ht="25" hidden="1">
      <c r="A796" s="751">
        <v>50648</v>
      </c>
      <c r="B796" s="752" t="s">
        <v>35</v>
      </c>
      <c r="C796" s="751" t="s">
        <v>2960</v>
      </c>
      <c r="D796" s="752" t="s">
        <v>948</v>
      </c>
      <c r="E796" s="752" t="s">
        <v>949</v>
      </c>
      <c r="F796" s="751">
        <v>4474</v>
      </c>
      <c r="G796" s="752" t="s">
        <v>43</v>
      </c>
      <c r="H796" s="752" t="s">
        <v>1245</v>
      </c>
      <c r="I796" s="752" t="s">
        <v>60</v>
      </c>
      <c r="J796" s="751">
        <v>22</v>
      </c>
      <c r="K796" s="751">
        <v>2</v>
      </c>
      <c r="L796" s="752" t="s">
        <v>54</v>
      </c>
      <c r="M796" s="752" t="s">
        <v>44</v>
      </c>
      <c r="N796" s="752" t="s">
        <v>18</v>
      </c>
      <c r="O796" s="752" t="s">
        <v>66</v>
      </c>
      <c r="P796" s="752" t="s">
        <v>47</v>
      </c>
      <c r="Q796" s="753">
        <v>135874</v>
      </c>
      <c r="R796" s="753">
        <v>135874</v>
      </c>
      <c r="S796" s="753">
        <v>902092</v>
      </c>
      <c r="T796" s="753">
        <v>902092</v>
      </c>
      <c r="U796" s="753">
        <v>45809.892</v>
      </c>
      <c r="V796" s="751">
        <v>2019</v>
      </c>
      <c r="W796" s="222"/>
      <c r="X796" s="186">
        <f t="shared" si="41"/>
        <v>19.692078732689438</v>
      </c>
      <c r="Y796" s="178" t="str">
        <f t="shared" si="39"/>
        <v/>
      </c>
      <c r="Z796" s="178" t="str">
        <f t="shared" si="40"/>
        <v/>
      </c>
      <c r="AA796" s="44"/>
      <c r="AB796" s="65"/>
    </row>
    <row r="797" spans="1:28" ht="25" hidden="1">
      <c r="A797" s="751">
        <v>50648</v>
      </c>
      <c r="B797" s="752" t="s">
        <v>35</v>
      </c>
      <c r="C797" s="751" t="s">
        <v>2960</v>
      </c>
      <c r="D797" s="752" t="s">
        <v>948</v>
      </c>
      <c r="E797" s="752" t="s">
        <v>949</v>
      </c>
      <c r="F797" s="751">
        <v>4474</v>
      </c>
      <c r="G797" s="752" t="s">
        <v>43</v>
      </c>
      <c r="H797" s="752" t="s">
        <v>1245</v>
      </c>
      <c r="I797" s="752" t="s">
        <v>60</v>
      </c>
      <c r="J797" s="751">
        <v>22</v>
      </c>
      <c r="K797" s="751">
        <v>2</v>
      </c>
      <c r="L797" s="752" t="s">
        <v>54</v>
      </c>
      <c r="M797" s="752" t="s">
        <v>44</v>
      </c>
      <c r="N797" s="752" t="s">
        <v>19</v>
      </c>
      <c r="O797" s="752" t="s">
        <v>84</v>
      </c>
      <c r="P797" s="752" t="s">
        <v>47</v>
      </c>
      <c r="Q797" s="753">
        <v>86869</v>
      </c>
      <c r="R797" s="753">
        <v>86869</v>
      </c>
      <c r="S797" s="753">
        <v>1102584</v>
      </c>
      <c r="T797" s="753">
        <v>1102584</v>
      </c>
      <c r="U797" s="753">
        <v>55991.108</v>
      </c>
      <c r="V797" s="751">
        <v>2019</v>
      </c>
      <c r="W797" s="222"/>
      <c r="X797" s="186">
        <f t="shared" si="41"/>
        <v>19.692126828424257</v>
      </c>
      <c r="Y797" s="178" t="str">
        <f t="shared" si="39"/>
        <v/>
      </c>
      <c r="Z797" s="178" t="str">
        <f t="shared" si="40"/>
        <v/>
      </c>
      <c r="AA797" s="44"/>
      <c r="AB797" s="65"/>
    </row>
    <row r="798" spans="1:28" hidden="1">
      <c r="A798" s="751">
        <v>50648</v>
      </c>
      <c r="B798" s="752" t="s">
        <v>35</v>
      </c>
      <c r="C798" s="751" t="s">
        <v>2960</v>
      </c>
      <c r="D798" s="752" t="s">
        <v>948</v>
      </c>
      <c r="E798" s="752" t="s">
        <v>949</v>
      </c>
      <c r="F798" s="751">
        <v>4474</v>
      </c>
      <c r="G798" s="752" t="s">
        <v>43</v>
      </c>
      <c r="H798" s="752" t="s">
        <v>1245</v>
      </c>
      <c r="I798" s="752" t="s">
        <v>60</v>
      </c>
      <c r="J798" s="751">
        <v>22</v>
      </c>
      <c r="K798" s="751">
        <v>2</v>
      </c>
      <c r="L798" s="752" t="s">
        <v>54</v>
      </c>
      <c r="M798" s="752" t="s">
        <v>44</v>
      </c>
      <c r="N798" s="752" t="s">
        <v>41</v>
      </c>
      <c r="O798" s="752" t="s">
        <v>41</v>
      </c>
      <c r="P798" s="752" t="s">
        <v>1091</v>
      </c>
      <c r="Q798" s="753">
        <v>0</v>
      </c>
      <c r="R798" s="753">
        <v>0</v>
      </c>
      <c r="S798" s="753">
        <v>0</v>
      </c>
      <c r="T798" s="753">
        <v>0</v>
      </c>
      <c r="U798" s="753">
        <v>0</v>
      </c>
      <c r="V798" s="751">
        <v>2019</v>
      </c>
      <c r="W798" s="222"/>
      <c r="X798" s="186" t="str">
        <f t="shared" si="41"/>
        <v/>
      </c>
      <c r="Y798" s="178" t="str">
        <f t="shared" si="39"/>
        <v/>
      </c>
      <c r="Z798" s="178" t="str">
        <f t="shared" si="40"/>
        <v/>
      </c>
      <c r="AA798" s="44"/>
      <c r="AB798" s="65"/>
    </row>
    <row r="799" spans="1:28" ht="25" hidden="1">
      <c r="A799" s="751">
        <v>50649</v>
      </c>
      <c r="B799" s="752" t="s">
        <v>35</v>
      </c>
      <c r="C799" s="751" t="s">
        <v>2960</v>
      </c>
      <c r="D799" s="752" t="s">
        <v>950</v>
      </c>
      <c r="E799" s="752" t="s">
        <v>950</v>
      </c>
      <c r="F799" s="751">
        <v>4484</v>
      </c>
      <c r="G799" s="752" t="s">
        <v>59</v>
      </c>
      <c r="H799" s="752" t="s">
        <v>1244</v>
      </c>
      <c r="I799" s="752" t="s">
        <v>60</v>
      </c>
      <c r="J799" s="751">
        <v>562213</v>
      </c>
      <c r="K799" s="751">
        <v>4</v>
      </c>
      <c r="L799" s="752" t="s">
        <v>422</v>
      </c>
      <c r="M799" s="752" t="s">
        <v>44</v>
      </c>
      <c r="N799" s="752" t="s">
        <v>48</v>
      </c>
      <c r="O799" s="752" t="s">
        <v>48</v>
      </c>
      <c r="P799" s="752" t="s">
        <v>49</v>
      </c>
      <c r="Q799" s="753">
        <v>1017</v>
      </c>
      <c r="R799" s="753">
        <v>1017</v>
      </c>
      <c r="S799" s="753">
        <v>6000</v>
      </c>
      <c r="T799" s="753">
        <v>6000</v>
      </c>
      <c r="U799" s="753">
        <v>279.00200000000001</v>
      </c>
      <c r="V799" s="751">
        <v>2019</v>
      </c>
      <c r="W799" s="222"/>
      <c r="X799" s="186" t="str">
        <f t="shared" si="41"/>
        <v/>
      </c>
      <c r="Y799" s="178" t="str">
        <f t="shared" si="39"/>
        <v/>
      </c>
      <c r="Z799" s="178" t="str">
        <f t="shared" si="40"/>
        <v/>
      </c>
      <c r="AA799" s="44"/>
      <c r="AB799" s="65"/>
    </row>
    <row r="800" spans="1:28" ht="25" hidden="1">
      <c r="A800" s="751">
        <v>50649</v>
      </c>
      <c r="B800" s="752" t="s">
        <v>35</v>
      </c>
      <c r="C800" s="751" t="s">
        <v>2960</v>
      </c>
      <c r="D800" s="752" t="s">
        <v>950</v>
      </c>
      <c r="E800" s="752" t="s">
        <v>950</v>
      </c>
      <c r="F800" s="751">
        <v>4484</v>
      </c>
      <c r="G800" s="752" t="s">
        <v>59</v>
      </c>
      <c r="H800" s="752" t="s">
        <v>1244</v>
      </c>
      <c r="I800" s="752" t="s">
        <v>60</v>
      </c>
      <c r="J800" s="751">
        <v>562213</v>
      </c>
      <c r="K800" s="751">
        <v>4</v>
      </c>
      <c r="L800" s="752" t="s">
        <v>422</v>
      </c>
      <c r="M800" s="752" t="s">
        <v>44</v>
      </c>
      <c r="N800" s="752" t="s">
        <v>18</v>
      </c>
      <c r="O800" s="752" t="s">
        <v>66</v>
      </c>
      <c r="P800" s="752" t="s">
        <v>47</v>
      </c>
      <c r="Q800" s="753">
        <v>151748</v>
      </c>
      <c r="R800" s="753">
        <v>151748</v>
      </c>
      <c r="S800" s="753">
        <v>1104136</v>
      </c>
      <c r="T800" s="753">
        <v>1104136</v>
      </c>
      <c r="U800" s="753">
        <v>51757.934000000001</v>
      </c>
      <c r="V800" s="751">
        <v>2019</v>
      </c>
      <c r="W800" s="222"/>
      <c r="X800" s="186" t="str">
        <f t="shared" si="41"/>
        <v/>
      </c>
      <c r="Y800" s="178" t="str">
        <f t="shared" si="39"/>
        <v/>
      </c>
      <c r="Z800" s="178" t="str">
        <f t="shared" si="40"/>
        <v/>
      </c>
      <c r="AA800" s="44"/>
      <c r="AB800" s="65"/>
    </row>
    <row r="801" spans="1:28" ht="25" hidden="1">
      <c r="A801" s="751">
        <v>50649</v>
      </c>
      <c r="B801" s="752" t="s">
        <v>35</v>
      </c>
      <c r="C801" s="751" t="s">
        <v>2960</v>
      </c>
      <c r="D801" s="752" t="s">
        <v>950</v>
      </c>
      <c r="E801" s="752" t="s">
        <v>950</v>
      </c>
      <c r="F801" s="751">
        <v>4484</v>
      </c>
      <c r="G801" s="752" t="s">
        <v>59</v>
      </c>
      <c r="H801" s="752" t="s">
        <v>1244</v>
      </c>
      <c r="I801" s="752" t="s">
        <v>60</v>
      </c>
      <c r="J801" s="751">
        <v>562213</v>
      </c>
      <c r="K801" s="751">
        <v>4</v>
      </c>
      <c r="L801" s="752" t="s">
        <v>422</v>
      </c>
      <c r="M801" s="752" t="s">
        <v>44</v>
      </c>
      <c r="N801" s="752" t="s">
        <v>19</v>
      </c>
      <c r="O801" s="752" t="s">
        <v>84</v>
      </c>
      <c r="P801" s="752" t="s">
        <v>47</v>
      </c>
      <c r="Q801" s="753">
        <v>97015</v>
      </c>
      <c r="R801" s="753">
        <v>97015</v>
      </c>
      <c r="S801" s="753">
        <v>1349506</v>
      </c>
      <c r="T801" s="753">
        <v>1349506</v>
      </c>
      <c r="U801" s="753">
        <v>63260.063999999998</v>
      </c>
      <c r="V801" s="751">
        <v>2019</v>
      </c>
      <c r="W801" s="222"/>
      <c r="X801" s="186"/>
      <c r="Y801" s="178" t="str">
        <f t="shared" si="39"/>
        <v/>
      </c>
      <c r="Z801" s="178" t="str">
        <f t="shared" si="40"/>
        <v/>
      </c>
      <c r="AA801" s="44"/>
      <c r="AB801" s="65"/>
    </row>
    <row r="802" spans="1:28" hidden="1">
      <c r="A802" s="751">
        <v>50650</v>
      </c>
      <c r="B802" s="752" t="s">
        <v>35</v>
      </c>
      <c r="C802" s="751" t="s">
        <v>2960</v>
      </c>
      <c r="D802" s="752" t="s">
        <v>1169</v>
      </c>
      <c r="E802" s="752" t="s">
        <v>1169</v>
      </c>
      <c r="F802" s="751">
        <v>1950</v>
      </c>
      <c r="G802" s="752" t="s">
        <v>92</v>
      </c>
      <c r="H802" s="752" t="s">
        <v>1245</v>
      </c>
      <c r="I802" s="752" t="s">
        <v>60</v>
      </c>
      <c r="J802" s="751">
        <v>22</v>
      </c>
      <c r="K802" s="751">
        <v>2</v>
      </c>
      <c r="L802" s="752" t="s">
        <v>54</v>
      </c>
      <c r="M802" s="752" t="s">
        <v>44</v>
      </c>
      <c r="N802" s="752" t="s">
        <v>48</v>
      </c>
      <c r="O802" s="752" t="s">
        <v>48</v>
      </c>
      <c r="P802" s="752" t="s">
        <v>49</v>
      </c>
      <c r="Q802" s="753">
        <v>0</v>
      </c>
      <c r="R802" s="753">
        <v>0</v>
      </c>
      <c r="S802" s="753">
        <v>0</v>
      </c>
      <c r="T802" s="753">
        <v>0</v>
      </c>
      <c r="U802" s="753">
        <v>0</v>
      </c>
      <c r="V802" s="751">
        <v>2019</v>
      </c>
      <c r="W802" s="222"/>
      <c r="X802" s="186" t="str">
        <f>IF(OR(K802&gt;3,T802=0,NOT(U802&gt;0)),"",T802/U802)</f>
        <v/>
      </c>
      <c r="Y802" s="178" t="str">
        <f t="shared" si="39"/>
        <v/>
      </c>
      <c r="Z802" s="178" t="str">
        <f t="shared" si="40"/>
        <v/>
      </c>
      <c r="AA802" s="44"/>
      <c r="AB802" s="65"/>
    </row>
    <row r="803" spans="1:28" ht="25" hidden="1">
      <c r="A803" s="751">
        <v>50650</v>
      </c>
      <c r="B803" s="752" t="s">
        <v>35</v>
      </c>
      <c r="C803" s="751" t="s">
        <v>2960</v>
      </c>
      <c r="D803" s="752" t="s">
        <v>1169</v>
      </c>
      <c r="E803" s="752" t="s">
        <v>1169</v>
      </c>
      <c r="F803" s="751">
        <v>1950</v>
      </c>
      <c r="G803" s="752" t="s">
        <v>92</v>
      </c>
      <c r="H803" s="752" t="s">
        <v>1245</v>
      </c>
      <c r="I803" s="752" t="s">
        <v>60</v>
      </c>
      <c r="J803" s="751">
        <v>22</v>
      </c>
      <c r="K803" s="751">
        <v>2</v>
      </c>
      <c r="L803" s="752" t="s">
        <v>54</v>
      </c>
      <c r="M803" s="752" t="s">
        <v>44</v>
      </c>
      <c r="N803" s="752" t="s">
        <v>71</v>
      </c>
      <c r="O803" s="752" t="s">
        <v>72</v>
      </c>
      <c r="P803" s="752" t="s">
        <v>47</v>
      </c>
      <c r="Q803" s="753">
        <v>351020</v>
      </c>
      <c r="R803" s="753">
        <v>351020</v>
      </c>
      <c r="S803" s="753">
        <v>2808160</v>
      </c>
      <c r="T803" s="753">
        <v>2808160</v>
      </c>
      <c r="U803" s="753">
        <v>208909</v>
      </c>
      <c r="V803" s="751">
        <v>2019</v>
      </c>
      <c r="W803" s="222"/>
      <c r="X803" s="186">
        <f>IF(OR(K803&gt;3,T803=0,NOT(U803&gt;0)),"",T803/U803)</f>
        <v>13.442024996529589</v>
      </c>
      <c r="Y803" s="178" t="str">
        <f t="shared" si="39"/>
        <v/>
      </c>
      <c r="Z803" s="178" t="str">
        <f t="shared" si="40"/>
        <v/>
      </c>
      <c r="AA803" s="44"/>
      <c r="AB803" s="65"/>
    </row>
    <row r="804" spans="1:28" hidden="1">
      <c r="A804" s="751">
        <v>50652</v>
      </c>
      <c r="B804" s="752" t="s">
        <v>35</v>
      </c>
      <c r="C804" s="751" t="s">
        <v>2960</v>
      </c>
      <c r="D804" s="752" t="s">
        <v>951</v>
      </c>
      <c r="E804" s="752" t="s">
        <v>952</v>
      </c>
      <c r="F804" s="751">
        <v>2598</v>
      </c>
      <c r="G804" s="752" t="s">
        <v>59</v>
      </c>
      <c r="H804" s="752" t="s">
        <v>1244</v>
      </c>
      <c r="I804" s="752" t="s">
        <v>60</v>
      </c>
      <c r="J804" s="751">
        <v>22</v>
      </c>
      <c r="K804" s="751">
        <v>2</v>
      </c>
      <c r="L804" s="752" t="s">
        <v>54</v>
      </c>
      <c r="M804" s="752" t="s">
        <v>37</v>
      </c>
      <c r="N804" s="752" t="s">
        <v>38</v>
      </c>
      <c r="O804" s="752" t="s">
        <v>39</v>
      </c>
      <c r="P804" s="752" t="s">
        <v>1238</v>
      </c>
      <c r="Q804" s="753">
        <v>0</v>
      </c>
      <c r="R804" s="753">
        <v>0</v>
      </c>
      <c r="S804" s="753">
        <v>94819</v>
      </c>
      <c r="T804" s="753">
        <v>94819</v>
      </c>
      <c r="U804" s="753">
        <v>10649</v>
      </c>
      <c r="V804" s="751">
        <v>2019</v>
      </c>
      <c r="W804" s="222"/>
      <c r="X804" s="186">
        <f>IF(OR(K804&gt;3,T804=0,NOT(U804&gt;0)),"",T804/U804)</f>
        <v>8.9040285472814347</v>
      </c>
      <c r="Y804" s="178" t="str">
        <f t="shared" si="39"/>
        <v/>
      </c>
      <c r="Z804" s="178" t="str">
        <f t="shared" si="40"/>
        <v/>
      </c>
      <c r="AA804" s="44"/>
      <c r="AB804" s="65"/>
    </row>
    <row r="805" spans="1:28" ht="25" hidden="1">
      <c r="A805" s="751">
        <v>50656</v>
      </c>
      <c r="B805" s="752" t="s">
        <v>35</v>
      </c>
      <c r="C805" s="751" t="s">
        <v>2960</v>
      </c>
      <c r="D805" s="752" t="s">
        <v>953</v>
      </c>
      <c r="E805" s="752" t="s">
        <v>954</v>
      </c>
      <c r="F805" s="751">
        <v>9097</v>
      </c>
      <c r="G805" s="752" t="s">
        <v>59</v>
      </c>
      <c r="H805" s="752" t="s">
        <v>1244</v>
      </c>
      <c r="I805" s="752" t="s">
        <v>60</v>
      </c>
      <c r="J805" s="751">
        <v>22</v>
      </c>
      <c r="K805" s="751">
        <v>2</v>
      </c>
      <c r="L805" s="752" t="s">
        <v>54</v>
      </c>
      <c r="M805" s="752" t="s">
        <v>44</v>
      </c>
      <c r="N805" s="752" t="s">
        <v>18</v>
      </c>
      <c r="O805" s="752" t="s">
        <v>66</v>
      </c>
      <c r="P805" s="752" t="s">
        <v>47</v>
      </c>
      <c r="Q805" s="753">
        <v>211557</v>
      </c>
      <c r="R805" s="753">
        <v>211557</v>
      </c>
      <c r="S805" s="753">
        <v>1560656</v>
      </c>
      <c r="T805" s="753">
        <v>1560656</v>
      </c>
      <c r="U805" s="753">
        <v>82667.392999999996</v>
      </c>
      <c r="V805" s="751">
        <v>2019</v>
      </c>
      <c r="W805" s="222"/>
      <c r="X805" s="186">
        <f>IF(OR(K805&gt;3,T805=0,NOT(U805&gt;0)),"",T805/U805)</f>
        <v>18.878737351739158</v>
      </c>
      <c r="Y805" s="178" t="str">
        <f t="shared" si="39"/>
        <v/>
      </c>
      <c r="Z805" s="178" t="str">
        <f t="shared" si="40"/>
        <v/>
      </c>
      <c r="AA805" s="44"/>
      <c r="AB805" s="65"/>
    </row>
    <row r="806" spans="1:28" ht="25" hidden="1">
      <c r="A806" s="751">
        <v>50656</v>
      </c>
      <c r="B806" s="752" t="s">
        <v>35</v>
      </c>
      <c r="C806" s="751" t="s">
        <v>2960</v>
      </c>
      <c r="D806" s="752" t="s">
        <v>953</v>
      </c>
      <c r="E806" s="752" t="s">
        <v>954</v>
      </c>
      <c r="F806" s="751">
        <v>9097</v>
      </c>
      <c r="G806" s="752" t="s">
        <v>59</v>
      </c>
      <c r="H806" s="752" t="s">
        <v>1244</v>
      </c>
      <c r="I806" s="752" t="s">
        <v>60</v>
      </c>
      <c r="J806" s="751">
        <v>22</v>
      </c>
      <c r="K806" s="751">
        <v>2</v>
      </c>
      <c r="L806" s="752" t="s">
        <v>54</v>
      </c>
      <c r="M806" s="752" t="s">
        <v>44</v>
      </c>
      <c r="N806" s="752" t="s">
        <v>19</v>
      </c>
      <c r="O806" s="752" t="s">
        <v>84</v>
      </c>
      <c r="P806" s="752" t="s">
        <v>47</v>
      </c>
      <c r="Q806" s="753">
        <v>135256</v>
      </c>
      <c r="R806" s="753">
        <v>135256</v>
      </c>
      <c r="S806" s="753">
        <v>1907493</v>
      </c>
      <c r="T806" s="753">
        <v>1907493</v>
      </c>
      <c r="U806" s="753">
        <v>101039.31</v>
      </c>
      <c r="V806" s="751">
        <v>2019</v>
      </c>
      <c r="W806" s="222"/>
      <c r="X806" s="186">
        <f>IF(OR(K806&gt;3,T806=0,NOT(U806&gt;0)),"",T806/U806)</f>
        <v>18.878721558965516</v>
      </c>
      <c r="Y806" s="86" t="str">
        <f t="shared" si="39"/>
        <v/>
      </c>
      <c r="Z806" s="86" t="str">
        <f t="shared" si="40"/>
        <v/>
      </c>
      <c r="AA806" s="44"/>
      <c r="AB806" s="65"/>
    </row>
    <row r="807" spans="1:28" ht="25" hidden="1">
      <c r="A807" s="751">
        <v>50656</v>
      </c>
      <c r="B807" s="752" t="s">
        <v>35</v>
      </c>
      <c r="C807" s="751" t="s">
        <v>2960</v>
      </c>
      <c r="D807" s="752" t="s">
        <v>953</v>
      </c>
      <c r="E807" s="752" t="s">
        <v>954</v>
      </c>
      <c r="F807" s="751">
        <v>9097</v>
      </c>
      <c r="G807" s="752" t="s">
        <v>59</v>
      </c>
      <c r="H807" s="752" t="s">
        <v>1244</v>
      </c>
      <c r="I807" s="752" t="s">
        <v>60</v>
      </c>
      <c r="J807" s="751">
        <v>22</v>
      </c>
      <c r="K807" s="751">
        <v>2</v>
      </c>
      <c r="L807" s="752" t="s">
        <v>54</v>
      </c>
      <c r="M807" s="752" t="s">
        <v>44</v>
      </c>
      <c r="N807" s="752" t="s">
        <v>439</v>
      </c>
      <c r="O807" s="752" t="s">
        <v>69</v>
      </c>
      <c r="P807" s="752" t="s">
        <v>1091</v>
      </c>
      <c r="Q807" s="753">
        <v>3498</v>
      </c>
      <c r="R807" s="753">
        <v>3498</v>
      </c>
      <c r="S807" s="753">
        <v>8748</v>
      </c>
      <c r="T807" s="753">
        <v>8748</v>
      </c>
      <c r="U807" s="753">
        <v>412.29599999999999</v>
      </c>
      <c r="V807" s="751">
        <v>2019</v>
      </c>
      <c r="W807" s="222"/>
      <c r="X807" s="186"/>
      <c r="Y807" s="86" t="str">
        <f t="shared" si="39"/>
        <v/>
      </c>
      <c r="Z807" s="86" t="str">
        <f t="shared" si="40"/>
        <v/>
      </c>
      <c r="AA807" s="44"/>
      <c r="AB807" s="65"/>
    </row>
    <row r="808" spans="1:28" hidden="1">
      <c r="A808" s="751">
        <v>50661</v>
      </c>
      <c r="B808" s="752" t="s">
        <v>35</v>
      </c>
      <c r="C808" s="751" t="s">
        <v>2960</v>
      </c>
      <c r="D808" s="752" t="s">
        <v>205</v>
      </c>
      <c r="E808" s="752" t="s">
        <v>206</v>
      </c>
      <c r="F808" s="751">
        <v>13982</v>
      </c>
      <c r="G808" s="752" t="s">
        <v>83</v>
      </c>
      <c r="H808" s="752" t="s">
        <v>1245</v>
      </c>
      <c r="I808" s="752" t="s">
        <v>60</v>
      </c>
      <c r="J808" s="751">
        <v>22</v>
      </c>
      <c r="K808" s="751">
        <v>2</v>
      </c>
      <c r="L808" s="752" t="s">
        <v>54</v>
      </c>
      <c r="M808" s="752" t="s">
        <v>44</v>
      </c>
      <c r="N808" s="752" t="s">
        <v>48</v>
      </c>
      <c r="O808" s="752" t="s">
        <v>48</v>
      </c>
      <c r="P808" s="752" t="s">
        <v>49</v>
      </c>
      <c r="Q808" s="753">
        <v>2558</v>
      </c>
      <c r="R808" s="753">
        <v>2558</v>
      </c>
      <c r="S808" s="753">
        <v>14836</v>
      </c>
      <c r="T808" s="753">
        <v>14836</v>
      </c>
      <c r="U808" s="753">
        <v>897.51</v>
      </c>
      <c r="V808" s="751">
        <v>2019</v>
      </c>
      <c r="W808" s="222"/>
      <c r="X808" s="186">
        <f>IF(OR(K808&gt;3,T808=0,NOT(U808&gt;0)),"",T808/U808)</f>
        <v>16.530177936736081</v>
      </c>
      <c r="Y808" s="86" t="str">
        <f t="shared" si="39"/>
        <v/>
      </c>
      <c r="Z808" s="86" t="str">
        <f t="shared" si="40"/>
        <v/>
      </c>
      <c r="AA808" s="44"/>
      <c r="AB808" s="65"/>
    </row>
    <row r="809" spans="1:28" ht="25" hidden="1">
      <c r="A809" s="751">
        <v>50661</v>
      </c>
      <c r="B809" s="752" t="s">
        <v>35</v>
      </c>
      <c r="C809" s="751" t="s">
        <v>2960</v>
      </c>
      <c r="D809" s="752" t="s">
        <v>205</v>
      </c>
      <c r="E809" s="752" t="s">
        <v>206</v>
      </c>
      <c r="F809" s="751">
        <v>13982</v>
      </c>
      <c r="G809" s="752" t="s">
        <v>83</v>
      </c>
      <c r="H809" s="752" t="s">
        <v>1245</v>
      </c>
      <c r="I809" s="752" t="s">
        <v>60</v>
      </c>
      <c r="J809" s="751">
        <v>22</v>
      </c>
      <c r="K809" s="751">
        <v>2</v>
      </c>
      <c r="L809" s="752" t="s">
        <v>54</v>
      </c>
      <c r="M809" s="752" t="s">
        <v>44</v>
      </c>
      <c r="N809" s="752" t="s">
        <v>18</v>
      </c>
      <c r="O809" s="752" t="s">
        <v>66</v>
      </c>
      <c r="P809" s="752" t="s">
        <v>47</v>
      </c>
      <c r="Q809" s="753">
        <v>374114</v>
      </c>
      <c r="R809" s="753">
        <v>374114</v>
      </c>
      <c r="S809" s="753">
        <v>2483744</v>
      </c>
      <c r="T809" s="753">
        <v>2483744</v>
      </c>
      <c r="U809" s="753">
        <v>151803.68</v>
      </c>
      <c r="V809" s="751">
        <v>2019</v>
      </c>
      <c r="W809" s="222"/>
      <c r="X809" s="186">
        <f>IF(OR(K809&gt;3,T809=0,NOT(U809&gt;0)),"",T809/U809)</f>
        <v>16.361553290407716</v>
      </c>
      <c r="Y809" s="86" t="str">
        <f t="shared" si="39"/>
        <v/>
      </c>
      <c r="Z809" s="86" t="str">
        <f t="shared" si="40"/>
        <v/>
      </c>
      <c r="AA809" s="44"/>
      <c r="AB809" s="65"/>
    </row>
    <row r="810" spans="1:28" ht="25" hidden="1">
      <c r="A810" s="751">
        <v>50661</v>
      </c>
      <c r="B810" s="752" t="s">
        <v>35</v>
      </c>
      <c r="C810" s="751" t="s">
        <v>2960</v>
      </c>
      <c r="D810" s="752" t="s">
        <v>205</v>
      </c>
      <c r="E810" s="752" t="s">
        <v>206</v>
      </c>
      <c r="F810" s="751">
        <v>13982</v>
      </c>
      <c r="G810" s="752" t="s">
        <v>83</v>
      </c>
      <c r="H810" s="752" t="s">
        <v>1245</v>
      </c>
      <c r="I810" s="752" t="s">
        <v>60</v>
      </c>
      <c r="J810" s="751">
        <v>22</v>
      </c>
      <c r="K810" s="751">
        <v>2</v>
      </c>
      <c r="L810" s="752" t="s">
        <v>54</v>
      </c>
      <c r="M810" s="752" t="s">
        <v>44</v>
      </c>
      <c r="N810" s="752" t="s">
        <v>19</v>
      </c>
      <c r="O810" s="752" t="s">
        <v>84</v>
      </c>
      <c r="P810" s="752" t="s">
        <v>47</v>
      </c>
      <c r="Q810" s="753">
        <v>239188</v>
      </c>
      <c r="R810" s="753">
        <v>239188</v>
      </c>
      <c r="S810" s="753">
        <v>3035817</v>
      </c>
      <c r="T810" s="753">
        <v>3035817</v>
      </c>
      <c r="U810" s="753">
        <v>185545.81</v>
      </c>
      <c r="V810" s="751">
        <v>2019</v>
      </c>
      <c r="W810" s="222"/>
      <c r="X810" s="186">
        <f>IF(OR(K810&gt;3,T810=0,NOT(U810&gt;0)),"",T810/U810)</f>
        <v>16.361549743429936</v>
      </c>
      <c r="Y810" s="86" t="str">
        <f t="shared" si="39"/>
        <v/>
      </c>
      <c r="Z810" s="86" t="str">
        <f t="shared" si="40"/>
        <v/>
      </c>
      <c r="AA810" s="44"/>
      <c r="AB810" s="65"/>
    </row>
    <row r="811" spans="1:28" ht="25" hidden="1">
      <c r="A811" s="751">
        <v>50662</v>
      </c>
      <c r="B811" s="752" t="s">
        <v>35</v>
      </c>
      <c r="C811" s="751" t="s">
        <v>2960</v>
      </c>
      <c r="D811" s="752" t="s">
        <v>955</v>
      </c>
      <c r="E811" s="752" t="s">
        <v>956</v>
      </c>
      <c r="F811" s="751">
        <v>4487</v>
      </c>
      <c r="G811" s="752" t="s">
        <v>59</v>
      </c>
      <c r="H811" s="752" t="s">
        <v>1244</v>
      </c>
      <c r="I811" s="752" t="s">
        <v>60</v>
      </c>
      <c r="J811" s="751">
        <v>562213</v>
      </c>
      <c r="K811" s="751">
        <v>4</v>
      </c>
      <c r="L811" s="752" t="s">
        <v>422</v>
      </c>
      <c r="M811" s="752" t="s">
        <v>44</v>
      </c>
      <c r="N811" s="752" t="s">
        <v>18</v>
      </c>
      <c r="O811" s="752" t="s">
        <v>66</v>
      </c>
      <c r="P811" s="752" t="s">
        <v>47</v>
      </c>
      <c r="Q811" s="753">
        <v>221208</v>
      </c>
      <c r="R811" s="753">
        <v>221208</v>
      </c>
      <c r="S811" s="753">
        <v>1770615</v>
      </c>
      <c r="T811" s="753">
        <v>1770615</v>
      </c>
      <c r="U811" s="753">
        <v>99831.828999999998</v>
      </c>
      <c r="V811" s="751">
        <v>2019</v>
      </c>
      <c r="W811" s="222"/>
      <c r="X811" s="186"/>
      <c r="Y811" s="86" t="str">
        <f t="shared" si="39"/>
        <v/>
      </c>
      <c r="Z811" s="86" t="str">
        <f t="shared" si="40"/>
        <v/>
      </c>
      <c r="AA811" s="44"/>
      <c r="AB811" s="65"/>
    </row>
    <row r="812" spans="1:28" ht="25" hidden="1">
      <c r="A812" s="751">
        <v>50662</v>
      </c>
      <c r="B812" s="752" t="s">
        <v>35</v>
      </c>
      <c r="C812" s="751" t="s">
        <v>2960</v>
      </c>
      <c r="D812" s="752" t="s">
        <v>955</v>
      </c>
      <c r="E812" s="752" t="s">
        <v>956</v>
      </c>
      <c r="F812" s="751">
        <v>4487</v>
      </c>
      <c r="G812" s="752" t="s">
        <v>59</v>
      </c>
      <c r="H812" s="752" t="s">
        <v>1244</v>
      </c>
      <c r="I812" s="752" t="s">
        <v>60</v>
      </c>
      <c r="J812" s="751">
        <v>562213</v>
      </c>
      <c r="K812" s="751">
        <v>4</v>
      </c>
      <c r="L812" s="752" t="s">
        <v>422</v>
      </c>
      <c r="M812" s="752" t="s">
        <v>44</v>
      </c>
      <c r="N812" s="752" t="s">
        <v>19</v>
      </c>
      <c r="O812" s="752" t="s">
        <v>84</v>
      </c>
      <c r="P812" s="752" t="s">
        <v>47</v>
      </c>
      <c r="Q812" s="753">
        <v>141427</v>
      </c>
      <c r="R812" s="753">
        <v>141427</v>
      </c>
      <c r="S812" s="753">
        <v>2164105</v>
      </c>
      <c r="T812" s="753">
        <v>2164105</v>
      </c>
      <c r="U812" s="753">
        <v>122017.9</v>
      </c>
      <c r="V812" s="751">
        <v>2019</v>
      </c>
      <c r="W812" s="222"/>
      <c r="X812" s="186"/>
      <c r="Y812" s="178" t="str">
        <f t="shared" si="39"/>
        <v/>
      </c>
      <c r="Z812" s="178" t="str">
        <f t="shared" si="40"/>
        <v/>
      </c>
      <c r="AA812" s="44"/>
      <c r="AB812" s="65"/>
    </row>
    <row r="813" spans="1:28" ht="25" hidden="1">
      <c r="A813" s="751">
        <v>50662</v>
      </c>
      <c r="B813" s="752" t="s">
        <v>35</v>
      </c>
      <c r="C813" s="751" t="s">
        <v>2960</v>
      </c>
      <c r="D813" s="752" t="s">
        <v>955</v>
      </c>
      <c r="E813" s="752" t="s">
        <v>956</v>
      </c>
      <c r="F813" s="751">
        <v>4487</v>
      </c>
      <c r="G813" s="752" t="s">
        <v>59</v>
      </c>
      <c r="H813" s="752" t="s">
        <v>1244</v>
      </c>
      <c r="I813" s="752" t="s">
        <v>60</v>
      </c>
      <c r="J813" s="751">
        <v>562213</v>
      </c>
      <c r="K813" s="751">
        <v>4</v>
      </c>
      <c r="L813" s="752" t="s">
        <v>422</v>
      </c>
      <c r="M813" s="752" t="s">
        <v>44</v>
      </c>
      <c r="N813" s="752" t="s">
        <v>41</v>
      </c>
      <c r="O813" s="752" t="s">
        <v>41</v>
      </c>
      <c r="P813" s="752" t="s">
        <v>1091</v>
      </c>
      <c r="Q813" s="753">
        <v>16955</v>
      </c>
      <c r="R813" s="753">
        <v>16955</v>
      </c>
      <c r="S813" s="753">
        <v>17463</v>
      </c>
      <c r="T813" s="753">
        <v>17463</v>
      </c>
      <c r="U813" s="753">
        <v>975.27200000000005</v>
      </c>
      <c r="V813" s="751">
        <v>2019</v>
      </c>
      <c r="W813" s="222"/>
      <c r="X813" s="186"/>
      <c r="Y813" s="178" t="str">
        <f t="shared" si="39"/>
        <v/>
      </c>
      <c r="Z813" s="178" t="str">
        <f t="shared" si="40"/>
        <v/>
      </c>
      <c r="AA813" s="44"/>
      <c r="AB813" s="65"/>
    </row>
    <row r="814" spans="1:28" ht="25" hidden="1">
      <c r="A814" s="751">
        <v>50688</v>
      </c>
      <c r="B814" s="752" t="s">
        <v>35</v>
      </c>
      <c r="C814" s="751" t="s">
        <v>2960</v>
      </c>
      <c r="D814" s="752" t="s">
        <v>957</v>
      </c>
      <c r="E814" s="752" t="s">
        <v>1108</v>
      </c>
      <c r="F814" s="751">
        <v>56838</v>
      </c>
      <c r="G814" s="752" t="s">
        <v>92</v>
      </c>
      <c r="H814" s="752" t="s">
        <v>1245</v>
      </c>
      <c r="I814" s="752" t="s">
        <v>60</v>
      </c>
      <c r="J814" s="751">
        <v>22</v>
      </c>
      <c r="K814" s="751">
        <v>2</v>
      </c>
      <c r="L814" s="752" t="s">
        <v>54</v>
      </c>
      <c r="M814" s="752" t="s">
        <v>37</v>
      </c>
      <c r="N814" s="752" t="s">
        <v>38</v>
      </c>
      <c r="O814" s="752" t="s">
        <v>39</v>
      </c>
      <c r="P814" s="752" t="s">
        <v>1238</v>
      </c>
      <c r="Q814" s="753">
        <v>0</v>
      </c>
      <c r="R814" s="753">
        <v>0</v>
      </c>
      <c r="S814" s="753">
        <v>47102</v>
      </c>
      <c r="T814" s="753">
        <v>47102</v>
      </c>
      <c r="U814" s="753">
        <v>5290</v>
      </c>
      <c r="V814" s="751">
        <v>2019</v>
      </c>
      <c r="W814" s="222"/>
      <c r="X814" s="186"/>
      <c r="Y814" s="178" t="str">
        <f t="shared" si="39"/>
        <v/>
      </c>
      <c r="Z814" s="178" t="str">
        <f t="shared" si="40"/>
        <v/>
      </c>
      <c r="AA814" s="44"/>
      <c r="AB814" s="65"/>
    </row>
    <row r="815" spans="1:28" ht="25" hidden="1">
      <c r="A815" s="751">
        <v>50699</v>
      </c>
      <c r="B815" s="752" t="s">
        <v>35</v>
      </c>
      <c r="C815" s="751" t="s">
        <v>2960</v>
      </c>
      <c r="D815" s="752" t="s">
        <v>958</v>
      </c>
      <c r="E815" s="752" t="s">
        <v>1114</v>
      </c>
      <c r="F815" s="751">
        <v>56837</v>
      </c>
      <c r="G815" s="752" t="s">
        <v>92</v>
      </c>
      <c r="H815" s="752" t="s">
        <v>1245</v>
      </c>
      <c r="I815" s="752" t="s">
        <v>60</v>
      </c>
      <c r="J815" s="751">
        <v>22</v>
      </c>
      <c r="K815" s="751">
        <v>2</v>
      </c>
      <c r="L815" s="752" t="s">
        <v>54</v>
      </c>
      <c r="M815" s="752" t="s">
        <v>37</v>
      </c>
      <c r="N815" s="752" t="s">
        <v>38</v>
      </c>
      <c r="O815" s="752" t="s">
        <v>39</v>
      </c>
      <c r="P815" s="752" t="s">
        <v>1238</v>
      </c>
      <c r="Q815" s="753">
        <v>0</v>
      </c>
      <c r="R815" s="753">
        <v>0</v>
      </c>
      <c r="S815" s="753">
        <v>50344</v>
      </c>
      <c r="T815" s="753">
        <v>50344</v>
      </c>
      <c r="U815" s="753">
        <v>5654</v>
      </c>
      <c r="V815" s="751">
        <v>2019</v>
      </c>
      <c r="W815" s="222"/>
      <c r="X815" s="186"/>
      <c r="Y815" s="86" t="str">
        <f t="shared" si="39"/>
        <v/>
      </c>
      <c r="Z815" s="86" t="str">
        <f t="shared" si="40"/>
        <v/>
      </c>
      <c r="AA815" s="44"/>
      <c r="AB815" s="65"/>
    </row>
    <row r="816" spans="1:28" hidden="1">
      <c r="A816" s="751">
        <v>50702</v>
      </c>
      <c r="B816" s="752" t="s">
        <v>35</v>
      </c>
      <c r="C816" s="751" t="s">
        <v>2960</v>
      </c>
      <c r="D816" s="752" t="s">
        <v>959</v>
      </c>
      <c r="E816" s="752" t="s">
        <v>137</v>
      </c>
      <c r="F816" s="751">
        <v>7601</v>
      </c>
      <c r="G816" s="752" t="s">
        <v>92</v>
      </c>
      <c r="H816" s="752" t="s">
        <v>1245</v>
      </c>
      <c r="I816" s="752" t="s">
        <v>60</v>
      </c>
      <c r="J816" s="751">
        <v>22</v>
      </c>
      <c r="K816" s="751">
        <v>1</v>
      </c>
      <c r="L816" s="752" t="s">
        <v>36</v>
      </c>
      <c r="M816" s="752" t="s">
        <v>37</v>
      </c>
      <c r="N816" s="752" t="s">
        <v>38</v>
      </c>
      <c r="O816" s="752" t="s">
        <v>39</v>
      </c>
      <c r="P816" s="752" t="s">
        <v>1238</v>
      </c>
      <c r="Q816" s="753">
        <v>0</v>
      </c>
      <c r="R816" s="753">
        <v>0</v>
      </c>
      <c r="S816" s="753">
        <v>33757</v>
      </c>
      <c r="T816" s="753">
        <v>33757</v>
      </c>
      <c r="U816" s="753">
        <v>3791</v>
      </c>
      <c r="V816" s="751">
        <v>2019</v>
      </c>
      <c r="W816" s="222"/>
      <c r="X816" s="186">
        <f>IF(OR(K816&gt;3,T816=0,NOT(U816&gt;0)),"",T816/U816)</f>
        <v>8.9045106831970458</v>
      </c>
      <c r="Y816" s="86" t="str">
        <f t="shared" si="39"/>
        <v/>
      </c>
      <c r="Z816" s="86" t="str">
        <f t="shared" si="40"/>
        <v/>
      </c>
      <c r="AA816" s="44"/>
      <c r="AB816" s="65"/>
    </row>
    <row r="817" spans="1:28" hidden="1">
      <c r="A817" s="751">
        <v>50704</v>
      </c>
      <c r="B817" s="752" t="s">
        <v>35</v>
      </c>
      <c r="C817" s="751" t="s">
        <v>2960</v>
      </c>
      <c r="D817" s="752" t="s">
        <v>960</v>
      </c>
      <c r="E817" s="752" t="s">
        <v>137</v>
      </c>
      <c r="F817" s="751">
        <v>7601</v>
      </c>
      <c r="G817" s="752" t="s">
        <v>98</v>
      </c>
      <c r="H817" s="752" t="s">
        <v>1245</v>
      </c>
      <c r="I817" s="752" t="s">
        <v>60</v>
      </c>
      <c r="J817" s="751">
        <v>22</v>
      </c>
      <c r="K817" s="751">
        <v>1</v>
      </c>
      <c r="L817" s="752" t="s">
        <v>36</v>
      </c>
      <c r="M817" s="752" t="s">
        <v>37</v>
      </c>
      <c r="N817" s="752" t="s">
        <v>38</v>
      </c>
      <c r="O817" s="752" t="s">
        <v>39</v>
      </c>
      <c r="P817" s="752" t="s">
        <v>1238</v>
      </c>
      <c r="Q817" s="753">
        <v>0</v>
      </c>
      <c r="R817" s="753">
        <v>0</v>
      </c>
      <c r="S817" s="753">
        <v>30246</v>
      </c>
      <c r="T817" s="753">
        <v>30246</v>
      </c>
      <c r="U817" s="753">
        <v>3397</v>
      </c>
      <c r="V817" s="751">
        <v>2019</v>
      </c>
      <c r="W817" s="222"/>
      <c r="X817" s="186"/>
      <c r="Y817" s="86" t="str">
        <f t="shared" si="39"/>
        <v/>
      </c>
      <c r="Z817" s="86" t="str">
        <f t="shared" si="40"/>
        <v/>
      </c>
      <c r="AA817" s="44"/>
      <c r="AB817" s="65"/>
    </row>
    <row r="818" spans="1:28" hidden="1">
      <c r="A818" s="751">
        <v>50713</v>
      </c>
      <c r="B818" s="752" t="s">
        <v>35</v>
      </c>
      <c r="C818" s="751" t="s">
        <v>2960</v>
      </c>
      <c r="D818" s="752" t="s">
        <v>1170</v>
      </c>
      <c r="E818" s="752" t="s">
        <v>137</v>
      </c>
      <c r="F818" s="751">
        <v>7601</v>
      </c>
      <c r="G818" s="752" t="s">
        <v>91</v>
      </c>
      <c r="H818" s="752" t="s">
        <v>1245</v>
      </c>
      <c r="I818" s="752" t="s">
        <v>60</v>
      </c>
      <c r="J818" s="751">
        <v>22</v>
      </c>
      <c r="K818" s="751">
        <v>1</v>
      </c>
      <c r="L818" s="752" t="s">
        <v>36</v>
      </c>
      <c r="M818" s="752" t="s">
        <v>37</v>
      </c>
      <c r="N818" s="752" t="s">
        <v>38</v>
      </c>
      <c r="O818" s="752" t="s">
        <v>39</v>
      </c>
      <c r="P818" s="752" t="s">
        <v>1238</v>
      </c>
      <c r="Q818" s="753">
        <v>0</v>
      </c>
      <c r="R818" s="753">
        <v>0</v>
      </c>
      <c r="S818" s="753">
        <v>180450</v>
      </c>
      <c r="T818" s="753">
        <v>180450</v>
      </c>
      <c r="U818" s="753">
        <v>20266</v>
      </c>
      <c r="V818" s="751">
        <v>2019</v>
      </c>
      <c r="W818" s="222"/>
      <c r="X818" s="186"/>
      <c r="Y818" s="178" t="str">
        <f t="shared" si="39"/>
        <v/>
      </c>
      <c r="Z818" s="178" t="str">
        <f t="shared" si="40"/>
        <v/>
      </c>
      <c r="AA818" s="44"/>
      <c r="AB818" s="65"/>
    </row>
    <row r="819" spans="1:28" ht="25" hidden="1">
      <c r="A819" s="751">
        <v>50739</v>
      </c>
      <c r="B819" s="752" t="s">
        <v>35</v>
      </c>
      <c r="C819" s="751" t="s">
        <v>2960</v>
      </c>
      <c r="D819" s="752" t="s">
        <v>961</v>
      </c>
      <c r="E819" s="752" t="s">
        <v>2021</v>
      </c>
      <c r="F819" s="751">
        <v>15085</v>
      </c>
      <c r="G819" s="752" t="s">
        <v>98</v>
      </c>
      <c r="H819" s="752" t="s">
        <v>1245</v>
      </c>
      <c r="I819" s="752" t="s">
        <v>60</v>
      </c>
      <c r="J819" s="751">
        <v>22</v>
      </c>
      <c r="K819" s="751">
        <v>2</v>
      </c>
      <c r="L819" s="752" t="s">
        <v>54</v>
      </c>
      <c r="M819" s="752" t="s">
        <v>44</v>
      </c>
      <c r="N819" s="752" t="s">
        <v>71</v>
      </c>
      <c r="O819" s="752" t="s">
        <v>72</v>
      </c>
      <c r="P819" s="752" t="s">
        <v>47</v>
      </c>
      <c r="Q819" s="753">
        <v>217431</v>
      </c>
      <c r="R819" s="753">
        <v>217431</v>
      </c>
      <c r="S819" s="753">
        <v>1956879</v>
      </c>
      <c r="T819" s="753">
        <v>1956879</v>
      </c>
      <c r="U819" s="753">
        <v>113672</v>
      </c>
      <c r="V819" s="751">
        <v>2019</v>
      </c>
      <c r="W819" s="222"/>
      <c r="X819" s="186"/>
      <c r="Y819" s="178" t="str">
        <f t="shared" si="39"/>
        <v/>
      </c>
      <c r="Z819" s="178" t="str">
        <f t="shared" si="40"/>
        <v/>
      </c>
      <c r="AA819" s="44"/>
      <c r="AB819" s="65"/>
    </row>
    <row r="820" spans="1:28" hidden="1">
      <c r="A820" s="751">
        <v>50741</v>
      </c>
      <c r="B820" s="752" t="s">
        <v>35</v>
      </c>
      <c r="C820" s="751" t="s">
        <v>2960</v>
      </c>
      <c r="D820" s="752" t="s">
        <v>962</v>
      </c>
      <c r="E820" s="752" t="s">
        <v>963</v>
      </c>
      <c r="F820" s="751">
        <v>15213</v>
      </c>
      <c r="G820" s="752" t="s">
        <v>98</v>
      </c>
      <c r="H820" s="752" t="s">
        <v>1245</v>
      </c>
      <c r="I820" s="752" t="s">
        <v>60</v>
      </c>
      <c r="J820" s="751">
        <v>22</v>
      </c>
      <c r="K820" s="751">
        <v>2</v>
      </c>
      <c r="L820" s="752" t="s">
        <v>54</v>
      </c>
      <c r="M820" s="752" t="s">
        <v>37</v>
      </c>
      <c r="N820" s="752" t="s">
        <v>38</v>
      </c>
      <c r="O820" s="752" t="s">
        <v>39</v>
      </c>
      <c r="P820" s="752" t="s">
        <v>1238</v>
      </c>
      <c r="Q820" s="753">
        <v>0</v>
      </c>
      <c r="R820" s="753">
        <v>0</v>
      </c>
      <c r="S820" s="753">
        <v>453356</v>
      </c>
      <c r="T820" s="753">
        <v>453356</v>
      </c>
      <c r="U820" s="753">
        <v>50916</v>
      </c>
      <c r="V820" s="751">
        <v>2019</v>
      </c>
      <c r="W820" s="222"/>
      <c r="X820" s="186"/>
      <c r="Y820" s="178" t="str">
        <f t="shared" si="39"/>
        <v/>
      </c>
      <c r="Z820" s="178" t="str">
        <f t="shared" si="40"/>
        <v/>
      </c>
      <c r="AA820" s="44"/>
      <c r="AB820" s="65"/>
    </row>
    <row r="821" spans="1:28" hidden="1">
      <c r="A821" s="751">
        <v>50744</v>
      </c>
      <c r="B821" s="752" t="s">
        <v>35</v>
      </c>
      <c r="C821" s="751" t="s">
        <v>2960</v>
      </c>
      <c r="D821" s="752" t="s">
        <v>207</v>
      </c>
      <c r="E821" s="752" t="s">
        <v>964</v>
      </c>
      <c r="F821" s="751">
        <v>14182</v>
      </c>
      <c r="G821" s="752" t="s">
        <v>59</v>
      </c>
      <c r="H821" s="752" t="s">
        <v>1244</v>
      </c>
      <c r="I821" s="752" t="s">
        <v>60</v>
      </c>
      <c r="J821" s="751">
        <v>22</v>
      </c>
      <c r="K821" s="751">
        <v>2</v>
      </c>
      <c r="L821" s="752" t="s">
        <v>54</v>
      </c>
      <c r="M821" s="752" t="s">
        <v>40</v>
      </c>
      <c r="N821" s="752" t="s">
        <v>41</v>
      </c>
      <c r="O821" s="752" t="s">
        <v>41</v>
      </c>
      <c r="P821" s="752" t="s">
        <v>1091</v>
      </c>
      <c r="Q821" s="753">
        <v>0</v>
      </c>
      <c r="R821" s="753">
        <v>0</v>
      </c>
      <c r="S821" s="753">
        <v>0</v>
      </c>
      <c r="T821" s="753">
        <v>0</v>
      </c>
      <c r="U821" s="753">
        <v>2169</v>
      </c>
      <c r="V821" s="751">
        <v>2019</v>
      </c>
      <c r="W821" s="222" t="s">
        <v>2666</v>
      </c>
      <c r="X821" s="186"/>
      <c r="Y821" s="178" t="str">
        <f t="shared" si="39"/>
        <v/>
      </c>
      <c r="Z821" s="178" t="str">
        <f t="shared" si="40"/>
        <v/>
      </c>
      <c r="AA821" s="44"/>
      <c r="AB821" s="65"/>
    </row>
    <row r="822" spans="1:28" hidden="1">
      <c r="A822" s="751">
        <v>50744</v>
      </c>
      <c r="B822" s="752" t="s">
        <v>35</v>
      </c>
      <c r="C822" s="751" t="s">
        <v>2960</v>
      </c>
      <c r="D822" s="752" t="s">
        <v>207</v>
      </c>
      <c r="E822" s="752" t="s">
        <v>964</v>
      </c>
      <c r="F822" s="751">
        <v>14182</v>
      </c>
      <c r="G822" s="752" t="s">
        <v>59</v>
      </c>
      <c r="H822" s="752" t="s">
        <v>1244</v>
      </c>
      <c r="I822" s="752" t="s">
        <v>60</v>
      </c>
      <c r="J822" s="751">
        <v>22</v>
      </c>
      <c r="K822" s="751">
        <v>2</v>
      </c>
      <c r="L822" s="752" t="s">
        <v>54</v>
      </c>
      <c r="M822" s="752" t="s">
        <v>43</v>
      </c>
      <c r="N822" s="752" t="s">
        <v>41</v>
      </c>
      <c r="O822" s="752" t="s">
        <v>41</v>
      </c>
      <c r="P822" s="752" t="s">
        <v>1091</v>
      </c>
      <c r="Q822" s="753">
        <v>67220</v>
      </c>
      <c r="R822" s="753">
        <v>67220</v>
      </c>
      <c r="S822" s="753">
        <v>67892</v>
      </c>
      <c r="T822" s="753">
        <v>67892</v>
      </c>
      <c r="U822" s="753">
        <v>5242</v>
      </c>
      <c r="V822" s="751">
        <v>2019</v>
      </c>
      <c r="W822" s="222" t="s">
        <v>2666</v>
      </c>
      <c r="X822" s="186">
        <f>IF(OR(K822&gt;3,T822=0,NOT(U822&gt;0)),"",T822/U822)</f>
        <v>12.95154521175124</v>
      </c>
      <c r="Y822" s="178" t="str">
        <f t="shared" si="39"/>
        <v/>
      </c>
      <c r="Z822" s="178" t="str">
        <f t="shared" si="40"/>
        <v/>
      </c>
      <c r="AA822" s="44"/>
      <c r="AB822" s="65"/>
    </row>
    <row r="823" spans="1:28" hidden="1">
      <c r="A823" s="751">
        <v>50744</v>
      </c>
      <c r="B823" s="752" t="s">
        <v>35</v>
      </c>
      <c r="C823" s="751" t="s">
        <v>2960</v>
      </c>
      <c r="D823" s="752" t="s">
        <v>207</v>
      </c>
      <c r="E823" s="752" t="s">
        <v>964</v>
      </c>
      <c r="F823" s="751">
        <v>14182</v>
      </c>
      <c r="G823" s="752" t="s">
        <v>59</v>
      </c>
      <c r="H823" s="752" t="s">
        <v>1244</v>
      </c>
      <c r="I823" s="752" t="s">
        <v>60</v>
      </c>
      <c r="J823" s="751">
        <v>22</v>
      </c>
      <c r="K823" s="751">
        <v>2</v>
      </c>
      <c r="L823" s="752" t="s">
        <v>54</v>
      </c>
      <c r="M823" s="752" t="s">
        <v>53</v>
      </c>
      <c r="N823" s="752" t="s">
        <v>48</v>
      </c>
      <c r="O823" s="752" t="s">
        <v>48</v>
      </c>
      <c r="P823" s="752" t="s">
        <v>49</v>
      </c>
      <c r="Q823" s="753">
        <v>0</v>
      </c>
      <c r="R823" s="753">
        <v>0</v>
      </c>
      <c r="S823" s="753">
        <v>0</v>
      </c>
      <c r="T823" s="753">
        <v>0</v>
      </c>
      <c r="U823" s="753">
        <v>0</v>
      </c>
      <c r="V823" s="751">
        <v>2019</v>
      </c>
      <c r="W823" s="222"/>
      <c r="X823" s="186"/>
      <c r="Y823" s="178" t="str">
        <f t="shared" si="39"/>
        <v/>
      </c>
      <c r="Z823" s="178" t="str">
        <f t="shared" si="40"/>
        <v/>
      </c>
      <c r="AA823" s="44"/>
      <c r="AB823" s="65"/>
    </row>
    <row r="824" spans="1:28" hidden="1">
      <c r="A824" s="751">
        <v>50758</v>
      </c>
      <c r="B824" s="752" t="s">
        <v>35</v>
      </c>
      <c r="C824" s="751" t="s">
        <v>2960</v>
      </c>
      <c r="D824" s="752" t="s">
        <v>965</v>
      </c>
      <c r="E824" s="752" t="s">
        <v>966</v>
      </c>
      <c r="F824" s="751">
        <v>19013</v>
      </c>
      <c r="G824" s="752" t="s">
        <v>92</v>
      </c>
      <c r="H824" s="752" t="s">
        <v>1245</v>
      </c>
      <c r="I824" s="752" t="s">
        <v>60</v>
      </c>
      <c r="J824" s="751">
        <v>22</v>
      </c>
      <c r="K824" s="751">
        <v>2</v>
      </c>
      <c r="L824" s="752" t="s">
        <v>54</v>
      </c>
      <c r="M824" s="752" t="s">
        <v>37</v>
      </c>
      <c r="N824" s="752" t="s">
        <v>38</v>
      </c>
      <c r="O824" s="752" t="s">
        <v>39</v>
      </c>
      <c r="P824" s="752" t="s">
        <v>1238</v>
      </c>
      <c r="Q824" s="753">
        <v>0</v>
      </c>
      <c r="R824" s="753">
        <v>0</v>
      </c>
      <c r="S824" s="753">
        <v>380219</v>
      </c>
      <c r="T824" s="753">
        <v>380219</v>
      </c>
      <c r="U824" s="753">
        <v>42702</v>
      </c>
      <c r="V824" s="751">
        <v>2019</v>
      </c>
      <c r="W824" s="222"/>
      <c r="X824" s="186"/>
      <c r="Y824" s="178" t="str">
        <f t="shared" si="39"/>
        <v/>
      </c>
      <c r="Z824" s="178" t="str">
        <f t="shared" si="40"/>
        <v/>
      </c>
      <c r="AA824" s="44"/>
      <c r="AB824" s="65"/>
    </row>
    <row r="825" spans="1:28" ht="25" hidden="1">
      <c r="A825" s="751">
        <v>50759</v>
      </c>
      <c r="B825" s="752" t="s">
        <v>35</v>
      </c>
      <c r="C825" s="751" t="s">
        <v>2960</v>
      </c>
      <c r="D825" s="752" t="s">
        <v>967</v>
      </c>
      <c r="E825" s="752" t="s">
        <v>1171</v>
      </c>
      <c r="F825" s="751">
        <v>57144</v>
      </c>
      <c r="G825" s="752" t="s">
        <v>59</v>
      </c>
      <c r="H825" s="752" t="s">
        <v>1244</v>
      </c>
      <c r="I825" s="752" t="s">
        <v>60</v>
      </c>
      <c r="J825" s="751">
        <v>22</v>
      </c>
      <c r="K825" s="751">
        <v>2</v>
      </c>
      <c r="L825" s="752" t="s">
        <v>54</v>
      </c>
      <c r="M825" s="752" t="s">
        <v>37</v>
      </c>
      <c r="N825" s="752" t="s">
        <v>38</v>
      </c>
      <c r="O825" s="752" t="s">
        <v>39</v>
      </c>
      <c r="P825" s="752" t="s">
        <v>1238</v>
      </c>
      <c r="Q825" s="753">
        <v>0</v>
      </c>
      <c r="R825" s="753">
        <v>0</v>
      </c>
      <c r="S825" s="753">
        <v>217879</v>
      </c>
      <c r="T825" s="753">
        <v>217879</v>
      </c>
      <c r="U825" s="753">
        <v>24470</v>
      </c>
      <c r="V825" s="751">
        <v>2019</v>
      </c>
      <c r="W825" s="222"/>
      <c r="X825" s="186"/>
      <c r="Y825" s="178" t="str">
        <f t="shared" si="39"/>
        <v/>
      </c>
      <c r="Z825" s="178" t="str">
        <f t="shared" si="40"/>
        <v/>
      </c>
      <c r="AA825" s="44"/>
      <c r="AB825" s="65"/>
    </row>
    <row r="826" spans="1:28" hidden="1">
      <c r="A826" s="751">
        <v>50768</v>
      </c>
      <c r="B826" s="752" t="s">
        <v>35</v>
      </c>
      <c r="C826" s="751" t="s">
        <v>2960</v>
      </c>
      <c r="D826" s="752" t="s">
        <v>968</v>
      </c>
      <c r="E826" s="752" t="s">
        <v>1769</v>
      </c>
      <c r="F826" s="751">
        <v>57184</v>
      </c>
      <c r="G826" s="752" t="s">
        <v>59</v>
      </c>
      <c r="H826" s="752" t="s">
        <v>1244</v>
      </c>
      <c r="I826" s="752" t="s">
        <v>60</v>
      </c>
      <c r="J826" s="751">
        <v>22</v>
      </c>
      <c r="K826" s="751">
        <v>2</v>
      </c>
      <c r="L826" s="752" t="s">
        <v>54</v>
      </c>
      <c r="M826" s="752" t="s">
        <v>37</v>
      </c>
      <c r="N826" s="752" t="s">
        <v>38</v>
      </c>
      <c r="O826" s="752" t="s">
        <v>39</v>
      </c>
      <c r="P826" s="752" t="s">
        <v>1238</v>
      </c>
      <c r="Q826" s="753">
        <v>0</v>
      </c>
      <c r="R826" s="753">
        <v>0</v>
      </c>
      <c r="S826" s="753">
        <v>44519</v>
      </c>
      <c r="T826" s="753">
        <v>44519</v>
      </c>
      <c r="U826" s="753">
        <v>5000</v>
      </c>
      <c r="V826" s="751">
        <v>2019</v>
      </c>
      <c r="W826" s="222"/>
      <c r="X826" s="186"/>
      <c r="Y826" s="178" t="str">
        <f t="shared" si="39"/>
        <v/>
      </c>
      <c r="Z826" s="178" t="str">
        <f t="shared" si="40"/>
        <v/>
      </c>
      <c r="AA826" s="44"/>
      <c r="AB826" s="65"/>
    </row>
    <row r="827" spans="1:28" hidden="1">
      <c r="A827" s="751">
        <v>50832</v>
      </c>
      <c r="B827" s="752" t="s">
        <v>35</v>
      </c>
      <c r="C827" s="751" t="s">
        <v>2960</v>
      </c>
      <c r="D827" s="752" t="s">
        <v>969</v>
      </c>
      <c r="E827" s="752" t="s">
        <v>1161</v>
      </c>
      <c r="F827" s="751">
        <v>3477</v>
      </c>
      <c r="G827" s="752" t="s">
        <v>83</v>
      </c>
      <c r="H827" s="752" t="s">
        <v>1245</v>
      </c>
      <c r="I827" s="752" t="s">
        <v>60</v>
      </c>
      <c r="J827" s="751">
        <v>22</v>
      </c>
      <c r="K827" s="751">
        <v>1</v>
      </c>
      <c r="L827" s="752" t="s">
        <v>36</v>
      </c>
      <c r="M827" s="752" t="s">
        <v>37</v>
      </c>
      <c r="N827" s="752" t="s">
        <v>38</v>
      </c>
      <c r="O827" s="752" t="s">
        <v>39</v>
      </c>
      <c r="P827" s="752" t="s">
        <v>1238</v>
      </c>
      <c r="Q827" s="753">
        <v>0</v>
      </c>
      <c r="R827" s="753">
        <v>0</v>
      </c>
      <c r="S827" s="753">
        <v>45356</v>
      </c>
      <c r="T827" s="753">
        <v>45356</v>
      </c>
      <c r="U827" s="753">
        <v>5094</v>
      </c>
      <c r="V827" s="751">
        <v>2019</v>
      </c>
      <c r="W827" s="222"/>
      <c r="X827" s="186"/>
      <c r="Y827" s="86" t="str">
        <f t="shared" si="39"/>
        <v/>
      </c>
      <c r="Z827" s="86" t="str">
        <f t="shared" si="40"/>
        <v/>
      </c>
      <c r="AA827" s="44"/>
      <c r="AB827" s="65"/>
    </row>
    <row r="828" spans="1:28" ht="25" hidden="1">
      <c r="A828" s="751">
        <v>50873</v>
      </c>
      <c r="B828" s="752" t="s">
        <v>35</v>
      </c>
      <c r="C828" s="751" t="s">
        <v>2960</v>
      </c>
      <c r="D828" s="752" t="s">
        <v>970</v>
      </c>
      <c r="E828" s="752" t="s">
        <v>94</v>
      </c>
      <c r="F828" s="751">
        <v>20541</v>
      </c>
      <c r="G828" s="752" t="s">
        <v>98</v>
      </c>
      <c r="H828" s="752" t="s">
        <v>1245</v>
      </c>
      <c r="I828" s="752" t="s">
        <v>60</v>
      </c>
      <c r="J828" s="751">
        <v>22</v>
      </c>
      <c r="K828" s="751">
        <v>2</v>
      </c>
      <c r="L828" s="752" t="s">
        <v>54</v>
      </c>
      <c r="M828" s="752" t="s">
        <v>44</v>
      </c>
      <c r="N828" s="752" t="s">
        <v>18</v>
      </c>
      <c r="O828" s="752" t="s">
        <v>66</v>
      </c>
      <c r="P828" s="752" t="s">
        <v>47</v>
      </c>
      <c r="Q828" s="753">
        <v>116027</v>
      </c>
      <c r="R828" s="753">
        <v>116027</v>
      </c>
      <c r="S828" s="753">
        <v>890197</v>
      </c>
      <c r="T828" s="753">
        <v>890197</v>
      </c>
      <c r="U828" s="753">
        <v>44705.154999999999</v>
      </c>
      <c r="V828" s="751">
        <v>2019</v>
      </c>
      <c r="W828" s="222"/>
      <c r="X828" s="186">
        <f>IF(OR(K828&gt;3,T828=0,NOT(U828&gt;0)),"",T828/U828)</f>
        <v>19.912625288962762</v>
      </c>
      <c r="Y828" s="86" t="str">
        <f t="shared" si="39"/>
        <v/>
      </c>
      <c r="Z828" s="86" t="str">
        <f t="shared" si="40"/>
        <v/>
      </c>
      <c r="AA828" s="44"/>
      <c r="AB828" s="65"/>
    </row>
    <row r="829" spans="1:28" ht="25" hidden="1">
      <c r="A829" s="751">
        <v>50873</v>
      </c>
      <c r="B829" s="752" t="s">
        <v>35</v>
      </c>
      <c r="C829" s="751" t="s">
        <v>2960</v>
      </c>
      <c r="D829" s="752" t="s">
        <v>970</v>
      </c>
      <c r="E829" s="752" t="s">
        <v>94</v>
      </c>
      <c r="F829" s="751">
        <v>20541</v>
      </c>
      <c r="G829" s="752" t="s">
        <v>98</v>
      </c>
      <c r="H829" s="752" t="s">
        <v>1245</v>
      </c>
      <c r="I829" s="752" t="s">
        <v>60</v>
      </c>
      <c r="J829" s="751">
        <v>22</v>
      </c>
      <c r="K829" s="751">
        <v>2</v>
      </c>
      <c r="L829" s="752" t="s">
        <v>54</v>
      </c>
      <c r="M829" s="752" t="s">
        <v>44</v>
      </c>
      <c r="N829" s="752" t="s">
        <v>19</v>
      </c>
      <c r="O829" s="752" t="s">
        <v>84</v>
      </c>
      <c r="P829" s="752" t="s">
        <v>47</v>
      </c>
      <c r="Q829" s="753">
        <v>74183</v>
      </c>
      <c r="R829" s="753">
        <v>74183</v>
      </c>
      <c r="S829" s="753">
        <v>1088006</v>
      </c>
      <c r="T829" s="753">
        <v>1088006</v>
      </c>
      <c r="U829" s="753">
        <v>54638.845000000001</v>
      </c>
      <c r="V829" s="751">
        <v>2019</v>
      </c>
      <c r="W829" s="222"/>
      <c r="X829" s="186">
        <f>IF(OR(K829&gt;3,T829=0,NOT(U829&gt;0)),"",T829/U829)</f>
        <v>19.912683000528286</v>
      </c>
      <c r="Y829" s="86" t="str">
        <f t="shared" si="39"/>
        <v/>
      </c>
      <c r="Z829" s="86" t="str">
        <f t="shared" si="40"/>
        <v/>
      </c>
      <c r="AA829" s="44"/>
      <c r="AB829" s="65"/>
    </row>
    <row r="830" spans="1:28" ht="25" hidden="1">
      <c r="A830" s="751">
        <v>50877</v>
      </c>
      <c r="B830" s="752" t="s">
        <v>35</v>
      </c>
      <c r="C830" s="751" t="s">
        <v>2960</v>
      </c>
      <c r="D830" s="752" t="s">
        <v>971</v>
      </c>
      <c r="E830" s="752" t="s">
        <v>94</v>
      </c>
      <c r="F830" s="751">
        <v>20541</v>
      </c>
      <c r="G830" s="752" t="s">
        <v>83</v>
      </c>
      <c r="H830" s="752" t="s">
        <v>1245</v>
      </c>
      <c r="I830" s="752" t="s">
        <v>60</v>
      </c>
      <c r="J830" s="751">
        <v>22</v>
      </c>
      <c r="K830" s="751">
        <v>2</v>
      </c>
      <c r="L830" s="752" t="s">
        <v>54</v>
      </c>
      <c r="M830" s="752" t="s">
        <v>44</v>
      </c>
      <c r="N830" s="752" t="s">
        <v>18</v>
      </c>
      <c r="O830" s="752" t="s">
        <v>66</v>
      </c>
      <c r="P830" s="752" t="s">
        <v>47</v>
      </c>
      <c r="Q830" s="753">
        <v>258813</v>
      </c>
      <c r="R830" s="753">
        <v>258813</v>
      </c>
      <c r="S830" s="753">
        <v>1985633</v>
      </c>
      <c r="T830" s="753">
        <v>1985633</v>
      </c>
      <c r="U830" s="753">
        <v>98268.087</v>
      </c>
      <c r="V830" s="751">
        <v>2019</v>
      </c>
      <c r="W830" s="222"/>
      <c r="X830" s="186"/>
      <c r="Y830" s="178" t="str">
        <f t="shared" si="39"/>
        <v/>
      </c>
      <c r="Z830" s="178" t="str">
        <f t="shared" si="40"/>
        <v/>
      </c>
      <c r="AA830" s="44"/>
      <c r="AB830" s="65"/>
    </row>
    <row r="831" spans="1:28" ht="25" hidden="1">
      <c r="A831" s="751">
        <v>50877</v>
      </c>
      <c r="B831" s="752" t="s">
        <v>35</v>
      </c>
      <c r="C831" s="751" t="s">
        <v>2960</v>
      </c>
      <c r="D831" s="752" t="s">
        <v>971</v>
      </c>
      <c r="E831" s="752" t="s">
        <v>94</v>
      </c>
      <c r="F831" s="751">
        <v>20541</v>
      </c>
      <c r="G831" s="752" t="s">
        <v>83</v>
      </c>
      <c r="H831" s="752" t="s">
        <v>1245</v>
      </c>
      <c r="I831" s="752" t="s">
        <v>60</v>
      </c>
      <c r="J831" s="751">
        <v>22</v>
      </c>
      <c r="K831" s="751">
        <v>2</v>
      </c>
      <c r="L831" s="752" t="s">
        <v>54</v>
      </c>
      <c r="M831" s="752" t="s">
        <v>44</v>
      </c>
      <c r="N831" s="752" t="s">
        <v>19</v>
      </c>
      <c r="O831" s="752" t="s">
        <v>84</v>
      </c>
      <c r="P831" s="752" t="s">
        <v>47</v>
      </c>
      <c r="Q831" s="753">
        <v>165472</v>
      </c>
      <c r="R831" s="753">
        <v>165472</v>
      </c>
      <c r="S831" s="753">
        <v>2426909</v>
      </c>
      <c r="T831" s="753">
        <v>2426909</v>
      </c>
      <c r="U831" s="753">
        <v>120106.91</v>
      </c>
      <c r="V831" s="751">
        <v>2019</v>
      </c>
      <c r="W831" s="222"/>
      <c r="X831" s="186"/>
      <c r="Y831" s="178" t="str">
        <f t="shared" si="39"/>
        <v/>
      </c>
      <c r="Z831" s="178" t="str">
        <f t="shared" si="40"/>
        <v/>
      </c>
      <c r="AA831" s="44"/>
      <c r="AB831" s="65"/>
    </row>
    <row r="832" spans="1:28" ht="25" hidden="1">
      <c r="A832" s="751">
        <v>50877</v>
      </c>
      <c r="B832" s="752" t="s">
        <v>35</v>
      </c>
      <c r="C832" s="751" t="s">
        <v>2960</v>
      </c>
      <c r="D832" s="752" t="s">
        <v>971</v>
      </c>
      <c r="E832" s="752" t="s">
        <v>94</v>
      </c>
      <c r="F832" s="751">
        <v>20541</v>
      </c>
      <c r="G832" s="752" t="s">
        <v>83</v>
      </c>
      <c r="H832" s="752" t="s">
        <v>1245</v>
      </c>
      <c r="I832" s="752" t="s">
        <v>60</v>
      </c>
      <c r="J832" s="751">
        <v>22</v>
      </c>
      <c r="K832" s="751">
        <v>2</v>
      </c>
      <c r="L832" s="752" t="s">
        <v>54</v>
      </c>
      <c r="M832" s="752" t="s">
        <v>44</v>
      </c>
      <c r="N832" s="752" t="s">
        <v>41</v>
      </c>
      <c r="O832" s="752" t="s">
        <v>41</v>
      </c>
      <c r="P832" s="752" t="s">
        <v>1091</v>
      </c>
      <c r="Q832" s="753">
        <v>0</v>
      </c>
      <c r="R832" s="753">
        <v>0</v>
      </c>
      <c r="S832" s="753">
        <v>0</v>
      </c>
      <c r="T832" s="753">
        <v>0</v>
      </c>
      <c r="U832" s="753">
        <v>0</v>
      </c>
      <c r="V832" s="751">
        <v>2019</v>
      </c>
      <c r="W832" s="222"/>
      <c r="X832" s="186"/>
      <c r="Y832" s="178" t="str">
        <f t="shared" si="39"/>
        <v/>
      </c>
      <c r="Z832" s="178" t="str">
        <f t="shared" si="40"/>
        <v/>
      </c>
      <c r="AA832" s="44"/>
      <c r="AB832" s="65"/>
    </row>
    <row r="833" spans="1:28" ht="25" hidden="1">
      <c r="A833" s="751">
        <v>50878</v>
      </c>
      <c r="B833" s="752" t="s">
        <v>35</v>
      </c>
      <c r="C833" s="751" t="s">
        <v>2960</v>
      </c>
      <c r="D833" s="752" t="s">
        <v>972</v>
      </c>
      <c r="E833" s="752" t="s">
        <v>94</v>
      </c>
      <c r="F833" s="751">
        <v>20541</v>
      </c>
      <c r="G833" s="752" t="s">
        <v>83</v>
      </c>
      <c r="H833" s="752" t="s">
        <v>1245</v>
      </c>
      <c r="I833" s="752" t="s">
        <v>60</v>
      </c>
      <c r="J833" s="751">
        <v>22</v>
      </c>
      <c r="K833" s="751">
        <v>2</v>
      </c>
      <c r="L833" s="752" t="s">
        <v>54</v>
      </c>
      <c r="M833" s="752" t="s">
        <v>44</v>
      </c>
      <c r="N833" s="752" t="s">
        <v>18</v>
      </c>
      <c r="O833" s="752" t="s">
        <v>66</v>
      </c>
      <c r="P833" s="752" t="s">
        <v>47</v>
      </c>
      <c r="Q833" s="753">
        <v>290992</v>
      </c>
      <c r="R833" s="753">
        <v>290992</v>
      </c>
      <c r="S833" s="753">
        <v>2232490</v>
      </c>
      <c r="T833" s="753">
        <v>2232490</v>
      </c>
      <c r="U833" s="753">
        <v>139671.15</v>
      </c>
      <c r="V833" s="751">
        <v>2019</v>
      </c>
      <c r="W833" s="222"/>
      <c r="X833" s="186"/>
      <c r="Y833" s="178" t="str">
        <f t="shared" si="39"/>
        <v/>
      </c>
      <c r="Z833" s="178" t="str">
        <f t="shared" si="40"/>
        <v/>
      </c>
      <c r="AA833" s="44"/>
      <c r="AB833" s="65"/>
    </row>
    <row r="834" spans="1:28" ht="25" hidden="1">
      <c r="A834" s="751">
        <v>50878</v>
      </c>
      <c r="B834" s="752" t="s">
        <v>35</v>
      </c>
      <c r="C834" s="751" t="s">
        <v>2960</v>
      </c>
      <c r="D834" s="752" t="s">
        <v>972</v>
      </c>
      <c r="E834" s="752" t="s">
        <v>94</v>
      </c>
      <c r="F834" s="751">
        <v>20541</v>
      </c>
      <c r="G834" s="752" t="s">
        <v>83</v>
      </c>
      <c r="H834" s="752" t="s">
        <v>1245</v>
      </c>
      <c r="I834" s="752" t="s">
        <v>60</v>
      </c>
      <c r="J834" s="751">
        <v>22</v>
      </c>
      <c r="K834" s="751">
        <v>2</v>
      </c>
      <c r="L834" s="752" t="s">
        <v>54</v>
      </c>
      <c r="M834" s="752" t="s">
        <v>44</v>
      </c>
      <c r="N834" s="752" t="s">
        <v>19</v>
      </c>
      <c r="O834" s="752" t="s">
        <v>84</v>
      </c>
      <c r="P834" s="752" t="s">
        <v>47</v>
      </c>
      <c r="Q834" s="753">
        <v>186043</v>
      </c>
      <c r="R834" s="753">
        <v>186043</v>
      </c>
      <c r="S834" s="753">
        <v>2728610</v>
      </c>
      <c r="T834" s="753">
        <v>2728610</v>
      </c>
      <c r="U834" s="753">
        <v>170709.85</v>
      </c>
      <c r="V834" s="751">
        <v>2019</v>
      </c>
      <c r="W834" s="222"/>
      <c r="X834" s="186">
        <f t="shared" ref="X834:X851" si="42">IF(OR(K834&gt;3,T834=0,NOT(U834&gt;0)),"",T834/U834)</f>
        <v>15.9839048537621</v>
      </c>
      <c r="Y834" s="178" t="str">
        <f t="shared" si="39"/>
        <v/>
      </c>
      <c r="Z834" s="178" t="str">
        <f t="shared" si="40"/>
        <v/>
      </c>
      <c r="AA834" s="44"/>
      <c r="AB834" s="65"/>
    </row>
    <row r="835" spans="1:28" ht="25" hidden="1">
      <c r="A835" s="751">
        <v>50880</v>
      </c>
      <c r="B835" s="752" t="s">
        <v>35</v>
      </c>
      <c r="C835" s="751" t="s">
        <v>2960</v>
      </c>
      <c r="D835" s="752" t="s">
        <v>208</v>
      </c>
      <c r="E835" s="752" t="s">
        <v>94</v>
      </c>
      <c r="F835" s="751">
        <v>20541</v>
      </c>
      <c r="G835" s="752" t="s">
        <v>83</v>
      </c>
      <c r="H835" s="752" t="s">
        <v>1245</v>
      </c>
      <c r="I835" s="752" t="s">
        <v>60</v>
      </c>
      <c r="J835" s="751">
        <v>22</v>
      </c>
      <c r="K835" s="751">
        <v>2</v>
      </c>
      <c r="L835" s="752" t="s">
        <v>54</v>
      </c>
      <c r="M835" s="752" t="s">
        <v>44</v>
      </c>
      <c r="N835" s="752" t="s">
        <v>18</v>
      </c>
      <c r="O835" s="752" t="s">
        <v>66</v>
      </c>
      <c r="P835" s="752" t="s">
        <v>47</v>
      </c>
      <c r="Q835" s="753">
        <v>225939</v>
      </c>
      <c r="R835" s="753">
        <v>225939</v>
      </c>
      <c r="S835" s="753">
        <v>1733406</v>
      </c>
      <c r="T835" s="753">
        <v>1733406</v>
      </c>
      <c r="U835" s="753">
        <v>81380.747000000003</v>
      </c>
      <c r="V835" s="751">
        <v>2019</v>
      </c>
      <c r="W835" s="222"/>
      <c r="X835" s="186">
        <f t="shared" si="42"/>
        <v>21.299951940721311</v>
      </c>
      <c r="Y835" s="178" t="str">
        <f t="shared" si="39"/>
        <v/>
      </c>
      <c r="Z835" s="178" t="str">
        <f t="shared" si="40"/>
        <v/>
      </c>
      <c r="AA835" s="44"/>
      <c r="AB835" s="65"/>
    </row>
    <row r="836" spans="1:28" ht="25" hidden="1">
      <c r="A836" s="751">
        <v>50880</v>
      </c>
      <c r="B836" s="752" t="s">
        <v>35</v>
      </c>
      <c r="C836" s="751" t="s">
        <v>2960</v>
      </c>
      <c r="D836" s="752" t="s">
        <v>208</v>
      </c>
      <c r="E836" s="752" t="s">
        <v>94</v>
      </c>
      <c r="F836" s="751">
        <v>20541</v>
      </c>
      <c r="G836" s="752" t="s">
        <v>83</v>
      </c>
      <c r="H836" s="752" t="s">
        <v>1245</v>
      </c>
      <c r="I836" s="752" t="s">
        <v>60</v>
      </c>
      <c r="J836" s="751">
        <v>22</v>
      </c>
      <c r="K836" s="751">
        <v>2</v>
      </c>
      <c r="L836" s="752" t="s">
        <v>54</v>
      </c>
      <c r="M836" s="752" t="s">
        <v>44</v>
      </c>
      <c r="N836" s="752" t="s">
        <v>19</v>
      </c>
      <c r="O836" s="752" t="s">
        <v>84</v>
      </c>
      <c r="P836" s="752" t="s">
        <v>47</v>
      </c>
      <c r="Q836" s="753">
        <v>144453</v>
      </c>
      <c r="R836" s="753">
        <v>144453</v>
      </c>
      <c r="S836" s="753">
        <v>2118633</v>
      </c>
      <c r="T836" s="753">
        <v>2118633</v>
      </c>
      <c r="U836" s="753">
        <v>99466.252999999997</v>
      </c>
      <c r="V836" s="751">
        <v>2019</v>
      </c>
      <c r="W836" s="222"/>
      <c r="X836" s="186">
        <f t="shared" si="42"/>
        <v>21.300018208185644</v>
      </c>
      <c r="Y836" s="178" t="str">
        <f t="shared" si="39"/>
        <v/>
      </c>
      <c r="Z836" s="178" t="str">
        <f t="shared" si="40"/>
        <v/>
      </c>
      <c r="AA836" s="44"/>
      <c r="AB836" s="65"/>
    </row>
    <row r="837" spans="1:28" ht="25" hidden="1">
      <c r="A837" s="751">
        <v>50882</v>
      </c>
      <c r="B837" s="752" t="s">
        <v>35</v>
      </c>
      <c r="C837" s="751" t="s">
        <v>2960</v>
      </c>
      <c r="D837" s="752" t="s">
        <v>209</v>
      </c>
      <c r="E837" s="752" t="s">
        <v>94</v>
      </c>
      <c r="F837" s="751">
        <v>20541</v>
      </c>
      <c r="G837" s="752" t="s">
        <v>59</v>
      </c>
      <c r="H837" s="752" t="s">
        <v>1244</v>
      </c>
      <c r="I837" s="752" t="s">
        <v>60</v>
      </c>
      <c r="J837" s="751">
        <v>22</v>
      </c>
      <c r="K837" s="751">
        <v>2</v>
      </c>
      <c r="L837" s="752" t="s">
        <v>54</v>
      </c>
      <c r="M837" s="752" t="s">
        <v>44</v>
      </c>
      <c r="N837" s="752" t="s">
        <v>18</v>
      </c>
      <c r="O837" s="752" t="s">
        <v>66</v>
      </c>
      <c r="P837" s="752" t="s">
        <v>47</v>
      </c>
      <c r="Q837" s="753">
        <v>409702</v>
      </c>
      <c r="R837" s="753">
        <v>409702</v>
      </c>
      <c r="S837" s="753">
        <v>3143234</v>
      </c>
      <c r="T837" s="753">
        <v>3143234</v>
      </c>
      <c r="U837" s="753">
        <v>169649.52</v>
      </c>
      <c r="V837" s="751">
        <v>2019</v>
      </c>
      <c r="W837" s="222"/>
      <c r="X837" s="186">
        <f t="shared" si="42"/>
        <v>18.527809568809865</v>
      </c>
      <c r="Y837" s="86" t="str">
        <f t="shared" si="39"/>
        <v/>
      </c>
      <c r="Z837" s="86" t="str">
        <f t="shared" si="40"/>
        <v/>
      </c>
      <c r="AA837" s="44"/>
      <c r="AB837" s="65"/>
    </row>
    <row r="838" spans="1:28" ht="25" hidden="1">
      <c r="A838" s="751">
        <v>50882</v>
      </c>
      <c r="B838" s="752" t="s">
        <v>35</v>
      </c>
      <c r="C838" s="751" t="s">
        <v>2960</v>
      </c>
      <c r="D838" s="752" t="s">
        <v>209</v>
      </c>
      <c r="E838" s="752" t="s">
        <v>94</v>
      </c>
      <c r="F838" s="751">
        <v>20541</v>
      </c>
      <c r="G838" s="752" t="s">
        <v>59</v>
      </c>
      <c r="H838" s="752" t="s">
        <v>1244</v>
      </c>
      <c r="I838" s="752" t="s">
        <v>60</v>
      </c>
      <c r="J838" s="751">
        <v>22</v>
      </c>
      <c r="K838" s="751">
        <v>2</v>
      </c>
      <c r="L838" s="752" t="s">
        <v>54</v>
      </c>
      <c r="M838" s="752" t="s">
        <v>44</v>
      </c>
      <c r="N838" s="752" t="s">
        <v>19</v>
      </c>
      <c r="O838" s="752" t="s">
        <v>84</v>
      </c>
      <c r="P838" s="752" t="s">
        <v>47</v>
      </c>
      <c r="Q838" s="753">
        <v>261943</v>
      </c>
      <c r="R838" s="753">
        <v>261943</v>
      </c>
      <c r="S838" s="753">
        <v>3841805</v>
      </c>
      <c r="T838" s="753">
        <v>3841805</v>
      </c>
      <c r="U838" s="753">
        <v>207353.48</v>
      </c>
      <c r="V838" s="751">
        <v>2019</v>
      </c>
      <c r="W838" s="222"/>
      <c r="X838" s="186">
        <f t="shared" si="42"/>
        <v>18.527805754694832</v>
      </c>
      <c r="Y838" s="86" t="str">
        <f t="shared" si="39"/>
        <v/>
      </c>
      <c r="Z838" s="86" t="str">
        <f t="shared" si="40"/>
        <v/>
      </c>
      <c r="AA838" s="44"/>
      <c r="AB838" s="65"/>
    </row>
    <row r="839" spans="1:28" ht="25" hidden="1">
      <c r="A839" s="751">
        <v>50882</v>
      </c>
      <c r="B839" s="752" t="s">
        <v>35</v>
      </c>
      <c r="C839" s="751" t="s">
        <v>2960</v>
      </c>
      <c r="D839" s="752" t="s">
        <v>209</v>
      </c>
      <c r="E839" s="752" t="s">
        <v>94</v>
      </c>
      <c r="F839" s="751">
        <v>20541</v>
      </c>
      <c r="G839" s="752" t="s">
        <v>59</v>
      </c>
      <c r="H839" s="752" t="s">
        <v>1244</v>
      </c>
      <c r="I839" s="752" t="s">
        <v>60</v>
      </c>
      <c r="J839" s="751">
        <v>22</v>
      </c>
      <c r="K839" s="751">
        <v>2</v>
      </c>
      <c r="L839" s="752" t="s">
        <v>54</v>
      </c>
      <c r="M839" s="752" t="s">
        <v>44</v>
      </c>
      <c r="N839" s="752" t="s">
        <v>41</v>
      </c>
      <c r="O839" s="752" t="s">
        <v>41</v>
      </c>
      <c r="P839" s="752" t="s">
        <v>1091</v>
      </c>
      <c r="Q839" s="753">
        <v>0</v>
      </c>
      <c r="R839" s="753">
        <v>0</v>
      </c>
      <c r="S839" s="753">
        <v>0</v>
      </c>
      <c r="T839" s="753">
        <v>0</v>
      </c>
      <c r="U839" s="753">
        <v>0</v>
      </c>
      <c r="V839" s="751">
        <v>2019</v>
      </c>
      <c r="W839" s="222"/>
      <c r="X839" s="186" t="str">
        <f t="shared" si="42"/>
        <v/>
      </c>
      <c r="Y839" s="86" t="str">
        <f t="shared" ref="Y839:Y902" si="43">IF(AND($M839=$Y$2,$N839=$Y$3,NOT($Q839=$R839),NOT($U839=0)),IF($K839=5,$S839/($U839+(8/5)*$U839),IF($K839=7,$S839/($U839+(29/25)*$U839),"")),"")</f>
        <v/>
      </c>
      <c r="Z839" s="86" t="str">
        <f t="shared" ref="Z839:Z902" si="44">IF(AND($M839=$Y$2,$N839=$Y$4,NOT($Q839=$R839),NOT($U839=0)),IF($K839=5,$S839/($U839+(8/5)*$U839),IF($K839=7,$S839/($U839+(29/25)*$U839),"")),"")</f>
        <v/>
      </c>
      <c r="AA839" s="44"/>
      <c r="AB839" s="65"/>
    </row>
    <row r="840" spans="1:28" ht="25" hidden="1">
      <c r="A840" s="751">
        <v>50883</v>
      </c>
      <c r="B840" s="752" t="s">
        <v>35</v>
      </c>
      <c r="C840" s="751" t="s">
        <v>2960</v>
      </c>
      <c r="D840" s="752" t="s">
        <v>210</v>
      </c>
      <c r="E840" s="752" t="s">
        <v>94</v>
      </c>
      <c r="F840" s="751">
        <v>20541</v>
      </c>
      <c r="G840" s="752" t="s">
        <v>43</v>
      </c>
      <c r="H840" s="752" t="s">
        <v>1245</v>
      </c>
      <c r="I840" s="752" t="s">
        <v>60</v>
      </c>
      <c r="J840" s="751">
        <v>22</v>
      </c>
      <c r="K840" s="751">
        <v>2</v>
      </c>
      <c r="L840" s="752" t="s">
        <v>54</v>
      </c>
      <c r="M840" s="752" t="s">
        <v>44</v>
      </c>
      <c r="N840" s="752" t="s">
        <v>18</v>
      </c>
      <c r="O840" s="752" t="s">
        <v>66</v>
      </c>
      <c r="P840" s="752" t="s">
        <v>47</v>
      </c>
      <c r="Q840" s="753">
        <v>445952</v>
      </c>
      <c r="R840" s="753">
        <v>445952</v>
      </c>
      <c r="S840" s="753">
        <v>3421343</v>
      </c>
      <c r="T840" s="753">
        <v>3421343</v>
      </c>
      <c r="U840" s="753">
        <v>210996.78</v>
      </c>
      <c r="V840" s="751">
        <v>2019</v>
      </c>
      <c r="W840" s="222"/>
      <c r="X840" s="186">
        <f t="shared" si="42"/>
        <v>16.215143188441075</v>
      </c>
      <c r="Y840" s="86" t="str">
        <f t="shared" si="43"/>
        <v/>
      </c>
      <c r="Z840" s="86" t="str">
        <f t="shared" si="44"/>
        <v/>
      </c>
      <c r="AA840" s="44"/>
      <c r="AB840" s="65"/>
    </row>
    <row r="841" spans="1:28" s="154" customFormat="1" ht="25" hidden="1">
      <c r="A841" s="751">
        <v>50883</v>
      </c>
      <c r="B841" s="752" t="s">
        <v>35</v>
      </c>
      <c r="C841" s="751" t="s">
        <v>2960</v>
      </c>
      <c r="D841" s="752" t="s">
        <v>210</v>
      </c>
      <c r="E841" s="752" t="s">
        <v>94</v>
      </c>
      <c r="F841" s="751">
        <v>20541</v>
      </c>
      <c r="G841" s="752" t="s">
        <v>43</v>
      </c>
      <c r="H841" s="752" t="s">
        <v>1245</v>
      </c>
      <c r="I841" s="752" t="s">
        <v>60</v>
      </c>
      <c r="J841" s="751">
        <v>22</v>
      </c>
      <c r="K841" s="751">
        <v>2</v>
      </c>
      <c r="L841" s="752" t="s">
        <v>54</v>
      </c>
      <c r="M841" s="752" t="s">
        <v>44</v>
      </c>
      <c r="N841" s="752" t="s">
        <v>19</v>
      </c>
      <c r="O841" s="752" t="s">
        <v>84</v>
      </c>
      <c r="P841" s="752" t="s">
        <v>47</v>
      </c>
      <c r="Q841" s="753">
        <v>285114</v>
      </c>
      <c r="R841" s="753">
        <v>285114</v>
      </c>
      <c r="S841" s="753">
        <v>4181696</v>
      </c>
      <c r="T841" s="753">
        <v>4181696</v>
      </c>
      <c r="U841" s="753">
        <v>257888.22</v>
      </c>
      <c r="V841" s="751">
        <v>2019</v>
      </c>
      <c r="W841" s="222"/>
      <c r="X841" s="186">
        <f t="shared" si="42"/>
        <v>16.215149338732882</v>
      </c>
      <c r="Y841" s="178" t="str">
        <f t="shared" si="43"/>
        <v/>
      </c>
      <c r="Z841" s="178" t="str">
        <f t="shared" si="44"/>
        <v/>
      </c>
      <c r="AA841" s="44"/>
      <c r="AB841" s="179"/>
    </row>
    <row r="842" spans="1:28" ht="25" hidden="1">
      <c r="A842" s="751">
        <v>50907</v>
      </c>
      <c r="B842" s="752" t="s">
        <v>56</v>
      </c>
      <c r="C842" s="751" t="s">
        <v>2960</v>
      </c>
      <c r="D842" s="752" t="s">
        <v>973</v>
      </c>
      <c r="E842" s="752" t="s">
        <v>974</v>
      </c>
      <c r="F842" s="751">
        <v>14222</v>
      </c>
      <c r="G842" s="752" t="s">
        <v>59</v>
      </c>
      <c r="H842" s="752" t="s">
        <v>1244</v>
      </c>
      <c r="I842" s="752" t="s">
        <v>60</v>
      </c>
      <c r="J842" s="751">
        <v>562212</v>
      </c>
      <c r="K842" s="751">
        <v>5</v>
      </c>
      <c r="L842" s="752" t="s">
        <v>423</v>
      </c>
      <c r="M842" s="752" t="s">
        <v>44</v>
      </c>
      <c r="N842" s="752" t="s">
        <v>18</v>
      </c>
      <c r="O842" s="752" t="s">
        <v>66</v>
      </c>
      <c r="P842" s="752" t="s">
        <v>47</v>
      </c>
      <c r="Q842" s="753">
        <v>32831</v>
      </c>
      <c r="R842" s="753">
        <v>2729</v>
      </c>
      <c r="S842" s="753">
        <v>290621</v>
      </c>
      <c r="T842" s="753">
        <v>24160</v>
      </c>
      <c r="U842" s="753">
        <v>3983.4279999999999</v>
      </c>
      <c r="V842" s="751">
        <v>2019</v>
      </c>
      <c r="W842" s="222"/>
      <c r="X842" s="186" t="str">
        <f t="shared" si="42"/>
        <v/>
      </c>
      <c r="Y842" s="178" t="str">
        <f t="shared" si="43"/>
        <v/>
      </c>
      <c r="Z842" s="178" t="str">
        <f t="shared" si="44"/>
        <v/>
      </c>
      <c r="AA842" s="44"/>
      <c r="AB842" s="65"/>
    </row>
    <row r="843" spans="1:28" ht="25" hidden="1">
      <c r="A843" s="751">
        <v>50907</v>
      </c>
      <c r="B843" s="752" t="s">
        <v>56</v>
      </c>
      <c r="C843" s="751" t="s">
        <v>2960</v>
      </c>
      <c r="D843" s="752" t="s">
        <v>973</v>
      </c>
      <c r="E843" s="752" t="s">
        <v>974</v>
      </c>
      <c r="F843" s="751">
        <v>14222</v>
      </c>
      <c r="G843" s="752" t="s">
        <v>59</v>
      </c>
      <c r="H843" s="752" t="s">
        <v>1244</v>
      </c>
      <c r="I843" s="752" t="s">
        <v>60</v>
      </c>
      <c r="J843" s="751">
        <v>562212</v>
      </c>
      <c r="K843" s="751">
        <v>5</v>
      </c>
      <c r="L843" s="752" t="s">
        <v>423</v>
      </c>
      <c r="M843" s="752" t="s">
        <v>44</v>
      </c>
      <c r="N843" s="752" t="s">
        <v>19</v>
      </c>
      <c r="O843" s="752" t="s">
        <v>84</v>
      </c>
      <c r="P843" s="752" t="s">
        <v>47</v>
      </c>
      <c r="Q843" s="753">
        <v>20990</v>
      </c>
      <c r="R843" s="753">
        <v>1746</v>
      </c>
      <c r="S843" s="753">
        <v>355214</v>
      </c>
      <c r="T843" s="753">
        <v>29529</v>
      </c>
      <c r="U843" s="753">
        <v>4868.7920000000004</v>
      </c>
      <c r="V843" s="751">
        <v>2019</v>
      </c>
      <c r="W843" s="222"/>
      <c r="X843" s="186" t="str">
        <f t="shared" si="42"/>
        <v/>
      </c>
      <c r="Y843" s="178" t="str">
        <f t="shared" si="43"/>
        <v/>
      </c>
      <c r="Z843" s="178" t="str">
        <f t="shared" si="44"/>
        <v/>
      </c>
      <c r="AA843" s="44"/>
      <c r="AB843" s="65"/>
    </row>
    <row r="844" spans="1:28" ht="25" hidden="1">
      <c r="A844" s="751">
        <v>50907</v>
      </c>
      <c r="B844" s="752" t="s">
        <v>56</v>
      </c>
      <c r="C844" s="751" t="s">
        <v>2960</v>
      </c>
      <c r="D844" s="752" t="s">
        <v>973</v>
      </c>
      <c r="E844" s="752" t="s">
        <v>974</v>
      </c>
      <c r="F844" s="751">
        <v>14222</v>
      </c>
      <c r="G844" s="752" t="s">
        <v>59</v>
      </c>
      <c r="H844" s="752" t="s">
        <v>1244</v>
      </c>
      <c r="I844" s="752" t="s">
        <v>60</v>
      </c>
      <c r="J844" s="751">
        <v>562212</v>
      </c>
      <c r="K844" s="751">
        <v>5</v>
      </c>
      <c r="L844" s="752" t="s">
        <v>423</v>
      </c>
      <c r="M844" s="752" t="s">
        <v>44</v>
      </c>
      <c r="N844" s="752" t="s">
        <v>41</v>
      </c>
      <c r="O844" s="752" t="s">
        <v>41</v>
      </c>
      <c r="P844" s="752" t="s">
        <v>1091</v>
      </c>
      <c r="Q844" s="753">
        <v>0</v>
      </c>
      <c r="R844" s="753">
        <v>0</v>
      </c>
      <c r="S844" s="753">
        <v>0</v>
      </c>
      <c r="T844" s="753">
        <v>0</v>
      </c>
      <c r="U844" s="753">
        <v>0</v>
      </c>
      <c r="V844" s="751">
        <v>2019</v>
      </c>
      <c r="W844" s="222"/>
      <c r="X844" s="186" t="str">
        <f t="shared" si="42"/>
        <v/>
      </c>
      <c r="Y844" s="178" t="str">
        <f t="shared" si="43"/>
        <v/>
      </c>
      <c r="Z844" s="178" t="str">
        <f t="shared" si="44"/>
        <v/>
      </c>
      <c r="AA844" s="44"/>
      <c r="AB844" s="65"/>
    </row>
    <row r="845" spans="1:28" hidden="1">
      <c r="A845" s="751">
        <v>50955</v>
      </c>
      <c r="B845" s="752" t="s">
        <v>56</v>
      </c>
      <c r="C845" s="751" t="s">
        <v>2960</v>
      </c>
      <c r="D845" s="752" t="s">
        <v>1225</v>
      </c>
      <c r="E845" s="752" t="s">
        <v>1225</v>
      </c>
      <c r="F845" s="751">
        <v>5623</v>
      </c>
      <c r="G845" s="752" t="s">
        <v>83</v>
      </c>
      <c r="H845" s="752" t="s">
        <v>1245</v>
      </c>
      <c r="I845" s="752" t="s">
        <v>60</v>
      </c>
      <c r="J845" s="751">
        <v>325</v>
      </c>
      <c r="K845" s="751">
        <v>7</v>
      </c>
      <c r="L845" s="752" t="s">
        <v>419</v>
      </c>
      <c r="M845" s="752" t="s">
        <v>44</v>
      </c>
      <c r="N845" s="752" t="s">
        <v>41</v>
      </c>
      <c r="O845" s="752" t="s">
        <v>41</v>
      </c>
      <c r="P845" s="752" t="s">
        <v>1091</v>
      </c>
      <c r="Q845" s="753">
        <v>744099</v>
      </c>
      <c r="R845" s="753">
        <v>71786</v>
      </c>
      <c r="S845" s="753">
        <v>766421</v>
      </c>
      <c r="T845" s="753">
        <v>73939</v>
      </c>
      <c r="U845" s="753">
        <v>16512.668000000001</v>
      </c>
      <c r="V845" s="751">
        <v>2019</v>
      </c>
      <c r="W845" s="222"/>
      <c r="X845" s="186" t="str">
        <f t="shared" si="42"/>
        <v/>
      </c>
      <c r="Y845" s="178" t="str">
        <f t="shared" si="43"/>
        <v/>
      </c>
      <c r="Z845" s="178" t="str">
        <f t="shared" si="44"/>
        <v/>
      </c>
      <c r="AA845" s="44"/>
      <c r="AB845" s="65"/>
    </row>
    <row r="846" spans="1:28" hidden="1">
      <c r="A846" s="751">
        <v>50955</v>
      </c>
      <c r="B846" s="752" t="s">
        <v>56</v>
      </c>
      <c r="C846" s="751" t="s">
        <v>2960</v>
      </c>
      <c r="D846" s="752" t="s">
        <v>1225</v>
      </c>
      <c r="E846" s="752" t="s">
        <v>1225</v>
      </c>
      <c r="F846" s="751">
        <v>5623</v>
      </c>
      <c r="G846" s="752" t="s">
        <v>83</v>
      </c>
      <c r="H846" s="752" t="s">
        <v>1245</v>
      </c>
      <c r="I846" s="752" t="s">
        <v>60</v>
      </c>
      <c r="J846" s="751">
        <v>325</v>
      </c>
      <c r="K846" s="751">
        <v>7</v>
      </c>
      <c r="L846" s="752" t="s">
        <v>419</v>
      </c>
      <c r="M846" s="752" t="s">
        <v>44</v>
      </c>
      <c r="N846" s="752" t="s">
        <v>439</v>
      </c>
      <c r="O846" s="752" t="s">
        <v>69</v>
      </c>
      <c r="P846" s="752" t="s">
        <v>1091</v>
      </c>
      <c r="Q846" s="753">
        <v>6</v>
      </c>
      <c r="R846" s="753">
        <v>0</v>
      </c>
      <c r="S846" s="753">
        <v>18</v>
      </c>
      <c r="T846" s="753">
        <v>0</v>
      </c>
      <c r="U846" s="753">
        <v>0.33200000000000002</v>
      </c>
      <c r="V846" s="751">
        <v>2019</v>
      </c>
      <c r="W846" s="222"/>
      <c r="X846" s="186" t="str">
        <f t="shared" si="42"/>
        <v/>
      </c>
      <c r="Y846" s="178" t="str">
        <f t="shared" si="43"/>
        <v/>
      </c>
      <c r="Z846" s="178" t="str">
        <f t="shared" si="44"/>
        <v/>
      </c>
      <c r="AA846" s="44"/>
      <c r="AB846" s="65"/>
    </row>
    <row r="847" spans="1:28" hidden="1">
      <c r="A847" s="751">
        <v>50955</v>
      </c>
      <c r="B847" s="752" t="s">
        <v>56</v>
      </c>
      <c r="C847" s="751" t="s">
        <v>2960</v>
      </c>
      <c r="D847" s="752" t="s">
        <v>1225</v>
      </c>
      <c r="E847" s="752" t="s">
        <v>1225</v>
      </c>
      <c r="F847" s="751">
        <v>5623</v>
      </c>
      <c r="G847" s="752" t="s">
        <v>83</v>
      </c>
      <c r="H847" s="752" t="s">
        <v>1245</v>
      </c>
      <c r="I847" s="752" t="s">
        <v>60</v>
      </c>
      <c r="J847" s="751">
        <v>325</v>
      </c>
      <c r="K847" s="751">
        <v>7</v>
      </c>
      <c r="L847" s="752" t="s">
        <v>419</v>
      </c>
      <c r="M847" s="752" t="s">
        <v>44</v>
      </c>
      <c r="N847" s="752" t="s">
        <v>63</v>
      </c>
      <c r="O847" s="752" t="s">
        <v>63</v>
      </c>
      <c r="P847" s="752" t="s">
        <v>49</v>
      </c>
      <c r="Q847" s="753">
        <v>0</v>
      </c>
      <c r="R847" s="753">
        <v>0</v>
      </c>
      <c r="S847" s="753">
        <v>0</v>
      </c>
      <c r="T847" s="753">
        <v>0</v>
      </c>
      <c r="U847" s="753">
        <v>0</v>
      </c>
      <c r="V847" s="751">
        <v>2019</v>
      </c>
      <c r="W847" s="222"/>
      <c r="X847" s="186" t="str">
        <f t="shared" si="42"/>
        <v/>
      </c>
      <c r="Y847" s="86" t="str">
        <f t="shared" si="43"/>
        <v/>
      </c>
      <c r="Z847" s="86" t="str">
        <f t="shared" si="44"/>
        <v/>
      </c>
      <c r="AA847" s="44"/>
      <c r="AB847" s="65"/>
    </row>
    <row r="848" spans="1:28" hidden="1">
      <c r="A848" s="751">
        <v>50978</v>
      </c>
      <c r="B848" s="752" t="s">
        <v>35</v>
      </c>
      <c r="C848" s="751" t="s">
        <v>2960</v>
      </c>
      <c r="D848" s="752" t="s">
        <v>211</v>
      </c>
      <c r="E848" s="752" t="s">
        <v>975</v>
      </c>
      <c r="F848" s="751">
        <v>24202</v>
      </c>
      <c r="G848" s="752" t="s">
        <v>59</v>
      </c>
      <c r="H848" s="752" t="s">
        <v>1244</v>
      </c>
      <c r="I848" s="752" t="s">
        <v>60</v>
      </c>
      <c r="J848" s="751">
        <v>22</v>
      </c>
      <c r="K848" s="751">
        <v>2</v>
      </c>
      <c r="L848" s="752" t="s">
        <v>54</v>
      </c>
      <c r="M848" s="752" t="s">
        <v>40</v>
      </c>
      <c r="N848" s="752" t="s">
        <v>48</v>
      </c>
      <c r="O848" s="752" t="s">
        <v>48</v>
      </c>
      <c r="P848" s="752" t="s">
        <v>49</v>
      </c>
      <c r="Q848" s="753">
        <v>0</v>
      </c>
      <c r="R848" s="753">
        <v>0</v>
      </c>
      <c r="S848" s="753">
        <v>0</v>
      </c>
      <c r="T848" s="753">
        <v>0</v>
      </c>
      <c r="U848" s="753">
        <v>0</v>
      </c>
      <c r="V848" s="751">
        <v>2019</v>
      </c>
      <c r="W848" s="222" t="s">
        <v>2666</v>
      </c>
      <c r="X848" s="186" t="str">
        <f t="shared" si="42"/>
        <v/>
      </c>
      <c r="Y848" s="178" t="str">
        <f t="shared" si="43"/>
        <v/>
      </c>
      <c r="Z848" s="178" t="str">
        <f t="shared" si="44"/>
        <v/>
      </c>
      <c r="AA848" s="44"/>
      <c r="AB848" s="65"/>
    </row>
    <row r="849" spans="1:28" hidden="1">
      <c r="A849" s="751">
        <v>50978</v>
      </c>
      <c r="B849" s="752" t="s">
        <v>35</v>
      </c>
      <c r="C849" s="751" t="s">
        <v>2960</v>
      </c>
      <c r="D849" s="752" t="s">
        <v>211</v>
      </c>
      <c r="E849" s="752" t="s">
        <v>975</v>
      </c>
      <c r="F849" s="751">
        <v>24202</v>
      </c>
      <c r="G849" s="752" t="s">
        <v>59</v>
      </c>
      <c r="H849" s="752" t="s">
        <v>1244</v>
      </c>
      <c r="I849" s="752" t="s">
        <v>60</v>
      </c>
      <c r="J849" s="751">
        <v>22</v>
      </c>
      <c r="K849" s="751">
        <v>2</v>
      </c>
      <c r="L849" s="752" t="s">
        <v>54</v>
      </c>
      <c r="M849" s="752" t="s">
        <v>40</v>
      </c>
      <c r="N849" s="752" t="s">
        <v>41</v>
      </c>
      <c r="O849" s="752" t="s">
        <v>41</v>
      </c>
      <c r="P849" s="752" t="s">
        <v>1091</v>
      </c>
      <c r="Q849" s="753">
        <v>0</v>
      </c>
      <c r="R849" s="753">
        <v>0</v>
      </c>
      <c r="S849" s="753">
        <v>0</v>
      </c>
      <c r="T849" s="753">
        <v>0</v>
      </c>
      <c r="U849" s="753">
        <v>12352</v>
      </c>
      <c r="V849" s="751">
        <v>2019</v>
      </c>
      <c r="W849" s="222" t="s">
        <v>2666</v>
      </c>
      <c r="X849" s="186" t="str">
        <f t="shared" si="42"/>
        <v/>
      </c>
      <c r="Y849" s="178" t="str">
        <f t="shared" si="43"/>
        <v/>
      </c>
      <c r="Z849" s="178" t="str">
        <f t="shared" si="44"/>
        <v/>
      </c>
      <c r="AA849" s="44"/>
      <c r="AB849" s="65"/>
    </row>
    <row r="850" spans="1:28" hidden="1">
      <c r="A850" s="751">
        <v>50978</v>
      </c>
      <c r="B850" s="752" t="s">
        <v>35</v>
      </c>
      <c r="C850" s="751" t="s">
        <v>2960</v>
      </c>
      <c r="D850" s="752" t="s">
        <v>211</v>
      </c>
      <c r="E850" s="752" t="s">
        <v>975</v>
      </c>
      <c r="F850" s="751">
        <v>24202</v>
      </c>
      <c r="G850" s="752" t="s">
        <v>59</v>
      </c>
      <c r="H850" s="752" t="s">
        <v>1244</v>
      </c>
      <c r="I850" s="752" t="s">
        <v>60</v>
      </c>
      <c r="J850" s="751">
        <v>22</v>
      </c>
      <c r="K850" s="751">
        <v>2</v>
      </c>
      <c r="L850" s="752" t="s">
        <v>54</v>
      </c>
      <c r="M850" s="752" t="s">
        <v>43</v>
      </c>
      <c r="N850" s="752" t="s">
        <v>48</v>
      </c>
      <c r="O850" s="752" t="s">
        <v>48</v>
      </c>
      <c r="P850" s="752" t="s">
        <v>49</v>
      </c>
      <c r="Q850" s="753">
        <v>0</v>
      </c>
      <c r="R850" s="753">
        <v>0</v>
      </c>
      <c r="S850" s="753">
        <v>0</v>
      </c>
      <c r="T850" s="753">
        <v>0</v>
      </c>
      <c r="U850" s="753">
        <v>0</v>
      </c>
      <c r="V850" s="751">
        <v>2019</v>
      </c>
      <c r="W850" s="222" t="s">
        <v>2666</v>
      </c>
      <c r="X850" s="186" t="str">
        <f t="shared" si="42"/>
        <v/>
      </c>
      <c r="Y850" s="178" t="str">
        <f t="shared" si="43"/>
        <v/>
      </c>
      <c r="Z850" s="178" t="str">
        <f t="shared" si="44"/>
        <v/>
      </c>
      <c r="AA850" s="44"/>
      <c r="AB850" s="65"/>
    </row>
    <row r="851" spans="1:28" hidden="1">
      <c r="A851" s="751">
        <v>50978</v>
      </c>
      <c r="B851" s="752" t="s">
        <v>35</v>
      </c>
      <c r="C851" s="751" t="s">
        <v>2960</v>
      </c>
      <c r="D851" s="752" t="s">
        <v>211</v>
      </c>
      <c r="E851" s="752" t="s">
        <v>975</v>
      </c>
      <c r="F851" s="751">
        <v>24202</v>
      </c>
      <c r="G851" s="752" t="s">
        <v>59</v>
      </c>
      <c r="H851" s="752" t="s">
        <v>1244</v>
      </c>
      <c r="I851" s="752" t="s">
        <v>60</v>
      </c>
      <c r="J851" s="751">
        <v>22</v>
      </c>
      <c r="K851" s="751">
        <v>2</v>
      </c>
      <c r="L851" s="752" t="s">
        <v>54</v>
      </c>
      <c r="M851" s="752" t="s">
        <v>43</v>
      </c>
      <c r="N851" s="752" t="s">
        <v>41</v>
      </c>
      <c r="O851" s="752" t="s">
        <v>41</v>
      </c>
      <c r="P851" s="752" t="s">
        <v>1091</v>
      </c>
      <c r="Q851" s="753">
        <v>431980</v>
      </c>
      <c r="R851" s="753">
        <v>431980</v>
      </c>
      <c r="S851" s="753">
        <v>440621</v>
      </c>
      <c r="T851" s="753">
        <v>440621</v>
      </c>
      <c r="U851" s="753">
        <v>37800</v>
      </c>
      <c r="V851" s="751">
        <v>2019</v>
      </c>
      <c r="W851" s="222" t="s">
        <v>2666</v>
      </c>
      <c r="X851" s="186">
        <f t="shared" si="42"/>
        <v>11.656640211640212</v>
      </c>
      <c r="Y851" s="178" t="str">
        <f t="shared" si="43"/>
        <v/>
      </c>
      <c r="Z851" s="178" t="str">
        <f t="shared" si="44"/>
        <v/>
      </c>
      <c r="AA851" s="44"/>
      <c r="AB851" s="65"/>
    </row>
    <row r="852" spans="1:28" hidden="1">
      <c r="A852" s="751">
        <v>50999</v>
      </c>
      <c r="B852" s="752" t="s">
        <v>35</v>
      </c>
      <c r="C852" s="751" t="s">
        <v>2960</v>
      </c>
      <c r="D852" s="752" t="s">
        <v>976</v>
      </c>
      <c r="E852" s="752" t="s">
        <v>1247</v>
      </c>
      <c r="F852" s="751">
        <v>39006</v>
      </c>
      <c r="G852" s="752" t="s">
        <v>92</v>
      </c>
      <c r="H852" s="752" t="s">
        <v>1245</v>
      </c>
      <c r="I852" s="752" t="s">
        <v>60</v>
      </c>
      <c r="J852" s="751">
        <v>22</v>
      </c>
      <c r="K852" s="751">
        <v>2</v>
      </c>
      <c r="L852" s="752" t="s">
        <v>54</v>
      </c>
      <c r="M852" s="752" t="s">
        <v>37</v>
      </c>
      <c r="N852" s="752" t="s">
        <v>38</v>
      </c>
      <c r="O852" s="752" t="s">
        <v>39</v>
      </c>
      <c r="P852" s="752" t="s">
        <v>1238</v>
      </c>
      <c r="Q852" s="753">
        <v>0</v>
      </c>
      <c r="R852" s="753">
        <v>0</v>
      </c>
      <c r="S852" s="753">
        <v>299522</v>
      </c>
      <c r="T852" s="753">
        <v>299522</v>
      </c>
      <c r="U852" s="753">
        <v>33639</v>
      </c>
      <c r="V852" s="751">
        <v>2019</v>
      </c>
      <c r="W852" s="222"/>
      <c r="X852" s="186"/>
      <c r="Y852" s="178" t="str">
        <f t="shared" si="43"/>
        <v/>
      </c>
      <c r="Z852" s="178" t="str">
        <f t="shared" si="44"/>
        <v/>
      </c>
      <c r="AA852" s="44"/>
      <c r="AB852" s="65"/>
    </row>
    <row r="853" spans="1:28" ht="25" hidden="1">
      <c r="A853" s="751">
        <v>51026</v>
      </c>
      <c r="B853" s="752" t="s">
        <v>35</v>
      </c>
      <c r="C853" s="751" t="s">
        <v>2960</v>
      </c>
      <c r="D853" s="752" t="s">
        <v>977</v>
      </c>
      <c r="E853" s="752" t="s">
        <v>2255</v>
      </c>
      <c r="F853" s="751">
        <v>54824</v>
      </c>
      <c r="G853" s="752" t="s">
        <v>91</v>
      </c>
      <c r="H853" s="752" t="s">
        <v>1245</v>
      </c>
      <c r="I853" s="752" t="s">
        <v>60</v>
      </c>
      <c r="J853" s="751">
        <v>22</v>
      </c>
      <c r="K853" s="751">
        <v>2</v>
      </c>
      <c r="L853" s="752" t="s">
        <v>54</v>
      </c>
      <c r="M853" s="752" t="s">
        <v>44</v>
      </c>
      <c r="N853" s="752" t="s">
        <v>71</v>
      </c>
      <c r="O853" s="752" t="s">
        <v>72</v>
      </c>
      <c r="P853" s="752" t="s">
        <v>47</v>
      </c>
      <c r="Q853" s="753">
        <v>208428</v>
      </c>
      <c r="R853" s="753">
        <v>208428</v>
      </c>
      <c r="S853" s="753">
        <v>1771640</v>
      </c>
      <c r="T853" s="753">
        <v>1771640</v>
      </c>
      <c r="U853" s="753">
        <v>130864</v>
      </c>
      <c r="V853" s="751">
        <v>2019</v>
      </c>
      <c r="W853" s="222"/>
      <c r="X853" s="186">
        <f>IF(OR(K853&gt;3,T853=0,NOT(U853&gt;0)),"",T853/U853)</f>
        <v>13.538024208338427</v>
      </c>
      <c r="Y853" s="178" t="str">
        <f t="shared" si="43"/>
        <v/>
      </c>
      <c r="Z853" s="178" t="str">
        <f t="shared" si="44"/>
        <v/>
      </c>
      <c r="AA853" s="44"/>
      <c r="AB853" s="65"/>
    </row>
    <row r="854" spans="1:28" hidden="1">
      <c r="A854" s="751">
        <v>51030</v>
      </c>
      <c r="B854" s="752" t="s">
        <v>35</v>
      </c>
      <c r="C854" s="751" t="s">
        <v>2960</v>
      </c>
      <c r="D854" s="752" t="s">
        <v>139</v>
      </c>
      <c r="E854" s="752" t="s">
        <v>140</v>
      </c>
      <c r="F854" s="751">
        <v>27769</v>
      </c>
      <c r="G854" s="752" t="s">
        <v>136</v>
      </c>
      <c r="H854" s="752" t="s">
        <v>1245</v>
      </c>
      <c r="I854" s="752" t="s">
        <v>60</v>
      </c>
      <c r="J854" s="751">
        <v>22</v>
      </c>
      <c r="K854" s="751">
        <v>2</v>
      </c>
      <c r="L854" s="752" t="s">
        <v>54</v>
      </c>
      <c r="M854" s="752" t="s">
        <v>40</v>
      </c>
      <c r="N854" s="752" t="s">
        <v>48</v>
      </c>
      <c r="O854" s="752" t="s">
        <v>48</v>
      </c>
      <c r="P854" s="752" t="s">
        <v>49</v>
      </c>
      <c r="Q854" s="753">
        <v>0</v>
      </c>
      <c r="R854" s="753">
        <v>0</v>
      </c>
      <c r="S854" s="753">
        <v>0</v>
      </c>
      <c r="T854" s="753">
        <v>0</v>
      </c>
      <c r="U854" s="753">
        <v>1216.3820000000001</v>
      </c>
      <c r="V854" s="751">
        <v>2019</v>
      </c>
      <c r="W854" s="222" t="s">
        <v>2666</v>
      </c>
      <c r="X854" s="186" t="str">
        <f>IF(OR(K854&gt;3,T854=0,NOT(U854&gt;0)),"",T854/U854)</f>
        <v/>
      </c>
      <c r="Y854" s="178" t="str">
        <f t="shared" si="43"/>
        <v/>
      </c>
      <c r="Z854" s="178" t="str">
        <f t="shared" si="44"/>
        <v/>
      </c>
      <c r="AA854" s="44"/>
      <c r="AB854" s="65"/>
    </row>
    <row r="855" spans="1:28" hidden="1">
      <c r="A855" s="751">
        <v>51030</v>
      </c>
      <c r="B855" s="752" t="s">
        <v>35</v>
      </c>
      <c r="C855" s="751" t="s">
        <v>2960</v>
      </c>
      <c r="D855" s="752" t="s">
        <v>139</v>
      </c>
      <c r="E855" s="752" t="s">
        <v>140</v>
      </c>
      <c r="F855" s="751">
        <v>27769</v>
      </c>
      <c r="G855" s="752" t="s">
        <v>136</v>
      </c>
      <c r="H855" s="752" t="s">
        <v>1245</v>
      </c>
      <c r="I855" s="752" t="s">
        <v>60</v>
      </c>
      <c r="J855" s="751">
        <v>22</v>
      </c>
      <c r="K855" s="751">
        <v>2</v>
      </c>
      <c r="L855" s="752" t="s">
        <v>54</v>
      </c>
      <c r="M855" s="752" t="s">
        <v>40</v>
      </c>
      <c r="N855" s="752" t="s">
        <v>41</v>
      </c>
      <c r="O855" s="752" t="s">
        <v>41</v>
      </c>
      <c r="P855" s="752" t="s">
        <v>1091</v>
      </c>
      <c r="Q855" s="753">
        <v>127253</v>
      </c>
      <c r="R855" s="753">
        <v>127253</v>
      </c>
      <c r="S855" s="753">
        <v>130817</v>
      </c>
      <c r="T855" s="753">
        <v>130817</v>
      </c>
      <c r="U855" s="753">
        <v>218338.62</v>
      </c>
      <c r="V855" s="751">
        <v>2019</v>
      </c>
      <c r="W855" s="222" t="s">
        <v>2666</v>
      </c>
      <c r="X855" s="186">
        <f>IF(OR(K855&gt;3,T855=0,NOT(U855&gt;0)),"",T855/U855)</f>
        <v>0.59914732446325802</v>
      </c>
      <c r="Y855" s="178" t="str">
        <f t="shared" si="43"/>
        <v/>
      </c>
      <c r="Z855" s="178" t="str">
        <f t="shared" si="44"/>
        <v/>
      </c>
      <c r="AA855" s="44"/>
      <c r="AB855" s="65"/>
    </row>
    <row r="856" spans="1:28" hidden="1">
      <c r="A856" s="751">
        <v>51030</v>
      </c>
      <c r="B856" s="752" t="s">
        <v>35</v>
      </c>
      <c r="C856" s="751" t="s">
        <v>2960</v>
      </c>
      <c r="D856" s="752" t="s">
        <v>139</v>
      </c>
      <c r="E856" s="752" t="s">
        <v>140</v>
      </c>
      <c r="F856" s="751">
        <v>27769</v>
      </c>
      <c r="G856" s="752" t="s">
        <v>136</v>
      </c>
      <c r="H856" s="752" t="s">
        <v>1245</v>
      </c>
      <c r="I856" s="752" t="s">
        <v>60</v>
      </c>
      <c r="J856" s="751">
        <v>22</v>
      </c>
      <c r="K856" s="751">
        <v>2</v>
      </c>
      <c r="L856" s="752" t="s">
        <v>54</v>
      </c>
      <c r="M856" s="752" t="s">
        <v>43</v>
      </c>
      <c r="N856" s="752" t="s">
        <v>48</v>
      </c>
      <c r="O856" s="752" t="s">
        <v>48</v>
      </c>
      <c r="P856" s="752" t="s">
        <v>49</v>
      </c>
      <c r="Q856" s="753">
        <v>6365</v>
      </c>
      <c r="R856" s="753">
        <v>6365</v>
      </c>
      <c r="S856" s="753">
        <v>36852</v>
      </c>
      <c r="T856" s="753">
        <v>36852</v>
      </c>
      <c r="U856" s="753">
        <v>2785.6750000000002</v>
      </c>
      <c r="V856" s="751">
        <v>2019</v>
      </c>
      <c r="W856" s="222" t="s">
        <v>2666</v>
      </c>
      <c r="X856" s="186">
        <f>IF(OR(K856&gt;3,T856=0,NOT(U856&gt;0)),"",T856/U856)</f>
        <v>13.229109641289812</v>
      </c>
      <c r="Y856" s="178" t="str">
        <f t="shared" si="43"/>
        <v/>
      </c>
      <c r="Z856" s="178" t="str">
        <f t="shared" si="44"/>
        <v/>
      </c>
      <c r="AA856" s="44"/>
      <c r="AB856" s="65"/>
    </row>
    <row r="857" spans="1:28" hidden="1">
      <c r="A857" s="751">
        <v>51030</v>
      </c>
      <c r="B857" s="752" t="s">
        <v>35</v>
      </c>
      <c r="C857" s="751" t="s">
        <v>2960</v>
      </c>
      <c r="D857" s="752" t="s">
        <v>139</v>
      </c>
      <c r="E857" s="752" t="s">
        <v>140</v>
      </c>
      <c r="F857" s="751">
        <v>27769</v>
      </c>
      <c r="G857" s="752" t="s">
        <v>136</v>
      </c>
      <c r="H857" s="752" t="s">
        <v>1245</v>
      </c>
      <c r="I857" s="752" t="s">
        <v>60</v>
      </c>
      <c r="J857" s="751">
        <v>22</v>
      </c>
      <c r="K857" s="751">
        <v>2</v>
      </c>
      <c r="L857" s="752" t="s">
        <v>54</v>
      </c>
      <c r="M857" s="752" t="s">
        <v>43</v>
      </c>
      <c r="N857" s="752" t="s">
        <v>41</v>
      </c>
      <c r="O857" s="752" t="s">
        <v>41</v>
      </c>
      <c r="P857" s="752" t="s">
        <v>1091</v>
      </c>
      <c r="Q857" s="753">
        <v>5256558</v>
      </c>
      <c r="R857" s="753">
        <v>5256558</v>
      </c>
      <c r="S857" s="753">
        <v>5403742</v>
      </c>
      <c r="T857" s="753">
        <v>5403742</v>
      </c>
      <c r="U857" s="753">
        <v>417083.33</v>
      </c>
      <c r="V857" s="751">
        <v>2019</v>
      </c>
      <c r="W857" s="222" t="s">
        <v>2666</v>
      </c>
      <c r="X857" s="186">
        <f>IF(OR(K857&gt;3,T857=0,NOT(U857&gt;0)),"",T857/U857)</f>
        <v>12.95602487876943</v>
      </c>
      <c r="Y857" s="178" t="str">
        <f t="shared" si="43"/>
        <v/>
      </c>
      <c r="Z857" s="178" t="str">
        <f t="shared" si="44"/>
        <v/>
      </c>
      <c r="AA857" s="44"/>
      <c r="AB857" s="65"/>
    </row>
    <row r="858" spans="1:28" hidden="1">
      <c r="A858" s="751">
        <v>51033</v>
      </c>
      <c r="B858" s="752" t="s">
        <v>35</v>
      </c>
      <c r="C858" s="751" t="s">
        <v>2960</v>
      </c>
      <c r="D858" s="752" t="s">
        <v>978</v>
      </c>
      <c r="E858" s="752" t="s">
        <v>123</v>
      </c>
      <c r="F858" s="751">
        <v>5914</v>
      </c>
      <c r="G858" s="752" t="s">
        <v>59</v>
      </c>
      <c r="H858" s="752" t="s">
        <v>1244</v>
      </c>
      <c r="I858" s="752" t="s">
        <v>60</v>
      </c>
      <c r="J858" s="751">
        <v>22</v>
      </c>
      <c r="K858" s="751">
        <v>2</v>
      </c>
      <c r="L858" s="752" t="s">
        <v>54</v>
      </c>
      <c r="M858" s="752" t="s">
        <v>37</v>
      </c>
      <c r="N858" s="752" t="s">
        <v>38</v>
      </c>
      <c r="O858" s="752" t="s">
        <v>39</v>
      </c>
      <c r="P858" s="752" t="s">
        <v>1238</v>
      </c>
      <c r="Q858" s="753">
        <v>0</v>
      </c>
      <c r="R858" s="753">
        <v>0</v>
      </c>
      <c r="S858" s="753">
        <v>184027</v>
      </c>
      <c r="T858" s="753">
        <v>184027</v>
      </c>
      <c r="U858" s="753">
        <v>20668</v>
      </c>
      <c r="V858" s="751">
        <v>2019</v>
      </c>
      <c r="W858" s="222"/>
      <c r="X858" s="186"/>
      <c r="Y858" s="178" t="str">
        <f t="shared" si="43"/>
        <v/>
      </c>
      <c r="Z858" s="178" t="str">
        <f t="shared" si="44"/>
        <v/>
      </c>
      <c r="AA858" s="44"/>
      <c r="AB858" s="65"/>
    </row>
    <row r="859" spans="1:28" hidden="1">
      <c r="A859" s="751">
        <v>51034</v>
      </c>
      <c r="B859" s="752" t="s">
        <v>35</v>
      </c>
      <c r="C859" s="751" t="s">
        <v>2960</v>
      </c>
      <c r="D859" s="752" t="s">
        <v>979</v>
      </c>
      <c r="E859" s="752" t="s">
        <v>980</v>
      </c>
      <c r="F859" s="751">
        <v>10714</v>
      </c>
      <c r="G859" s="752" t="s">
        <v>59</v>
      </c>
      <c r="H859" s="752" t="s">
        <v>1244</v>
      </c>
      <c r="I859" s="752" t="s">
        <v>60</v>
      </c>
      <c r="J859" s="751">
        <v>22</v>
      </c>
      <c r="K859" s="751">
        <v>2</v>
      </c>
      <c r="L859" s="752" t="s">
        <v>54</v>
      </c>
      <c r="M859" s="752" t="s">
        <v>37</v>
      </c>
      <c r="N859" s="752" t="s">
        <v>38</v>
      </c>
      <c r="O859" s="752" t="s">
        <v>39</v>
      </c>
      <c r="P859" s="752" t="s">
        <v>1238</v>
      </c>
      <c r="Q859" s="753">
        <v>0</v>
      </c>
      <c r="R859" s="753">
        <v>0</v>
      </c>
      <c r="S859" s="753">
        <v>606309</v>
      </c>
      <c r="T859" s="753">
        <v>606309</v>
      </c>
      <c r="U859" s="753">
        <v>68094</v>
      </c>
      <c r="V859" s="751">
        <v>2019</v>
      </c>
      <c r="W859" s="222"/>
      <c r="X859" s="186"/>
      <c r="Y859" s="178" t="str">
        <f t="shared" si="43"/>
        <v/>
      </c>
      <c r="Z859" s="178" t="str">
        <f t="shared" si="44"/>
        <v/>
      </c>
      <c r="AA859" s="44"/>
      <c r="AB859" s="65"/>
    </row>
    <row r="860" spans="1:28" ht="25" hidden="1">
      <c r="A860" s="751">
        <v>51035</v>
      </c>
      <c r="B860" s="752" t="s">
        <v>56</v>
      </c>
      <c r="C860" s="751" t="s">
        <v>2960</v>
      </c>
      <c r="D860" s="752" t="s">
        <v>981</v>
      </c>
      <c r="E860" s="752" t="s">
        <v>981</v>
      </c>
      <c r="F860" s="751">
        <v>8688</v>
      </c>
      <c r="G860" s="752" t="s">
        <v>59</v>
      </c>
      <c r="H860" s="752" t="s">
        <v>1244</v>
      </c>
      <c r="I860" s="752" t="s">
        <v>60</v>
      </c>
      <c r="J860" s="751">
        <v>611</v>
      </c>
      <c r="K860" s="751">
        <v>5</v>
      </c>
      <c r="L860" s="752" t="s">
        <v>423</v>
      </c>
      <c r="M860" s="752" t="s">
        <v>53</v>
      </c>
      <c r="N860" s="752" t="s">
        <v>48</v>
      </c>
      <c r="O860" s="752" t="s">
        <v>48</v>
      </c>
      <c r="P860" s="752" t="s">
        <v>49</v>
      </c>
      <c r="Q860" s="753">
        <v>0</v>
      </c>
      <c r="R860" s="753">
        <v>0</v>
      </c>
      <c r="S860" s="753">
        <v>0</v>
      </c>
      <c r="T860" s="753">
        <v>0</v>
      </c>
      <c r="U860" s="753">
        <v>0</v>
      </c>
      <c r="V860" s="751">
        <v>2019</v>
      </c>
      <c r="W860" s="222"/>
      <c r="X860" s="186" t="str">
        <f>IF(OR(K860&gt;3,T860=0,NOT(U860&gt;0)),"",T860/U860)</f>
        <v/>
      </c>
      <c r="Y860" s="178" t="str">
        <f t="shared" si="43"/>
        <v/>
      </c>
      <c r="Z860" s="178" t="str">
        <f t="shared" si="44"/>
        <v/>
      </c>
      <c r="AA860" s="44"/>
      <c r="AB860" s="65"/>
    </row>
    <row r="861" spans="1:28" ht="25" hidden="1">
      <c r="A861" s="751">
        <v>51035</v>
      </c>
      <c r="B861" s="752" t="s">
        <v>56</v>
      </c>
      <c r="C861" s="751" t="s">
        <v>2960</v>
      </c>
      <c r="D861" s="752" t="s">
        <v>981</v>
      </c>
      <c r="E861" s="752" t="s">
        <v>981</v>
      </c>
      <c r="F861" s="751">
        <v>8688</v>
      </c>
      <c r="G861" s="752" t="s">
        <v>59</v>
      </c>
      <c r="H861" s="752" t="s">
        <v>1244</v>
      </c>
      <c r="I861" s="752" t="s">
        <v>60</v>
      </c>
      <c r="J861" s="751">
        <v>611</v>
      </c>
      <c r="K861" s="751">
        <v>5</v>
      </c>
      <c r="L861" s="752" t="s">
        <v>423</v>
      </c>
      <c r="M861" s="752" t="s">
        <v>53</v>
      </c>
      <c r="N861" s="752" t="s">
        <v>41</v>
      </c>
      <c r="O861" s="752" t="s">
        <v>41</v>
      </c>
      <c r="P861" s="752" t="s">
        <v>1091</v>
      </c>
      <c r="Q861" s="753">
        <v>0</v>
      </c>
      <c r="R861" s="753">
        <v>0</v>
      </c>
      <c r="S861" s="753">
        <v>0</v>
      </c>
      <c r="T861" s="753">
        <v>0</v>
      </c>
      <c r="U861" s="753">
        <v>0</v>
      </c>
      <c r="V861" s="751">
        <v>2019</v>
      </c>
      <c r="W861" s="222"/>
      <c r="X861" s="186" t="str">
        <f>IF(OR(K861&gt;3,T861=0,NOT(U861&gt;0)),"",T861/U861)</f>
        <v/>
      </c>
      <c r="Y861" s="178" t="str">
        <f t="shared" si="43"/>
        <v/>
      </c>
      <c r="Z861" s="178" t="str">
        <f t="shared" si="44"/>
        <v/>
      </c>
      <c r="AA861" s="44"/>
      <c r="AB861" s="65"/>
    </row>
    <row r="862" spans="1:28" ht="25" hidden="1">
      <c r="A862" s="751">
        <v>51038</v>
      </c>
      <c r="B862" s="752" t="s">
        <v>35</v>
      </c>
      <c r="C862" s="751" t="s">
        <v>2960</v>
      </c>
      <c r="D862" s="752" t="s">
        <v>982</v>
      </c>
      <c r="E862" s="752" t="s">
        <v>983</v>
      </c>
      <c r="F862" s="751">
        <v>56601</v>
      </c>
      <c r="G862" s="752" t="s">
        <v>59</v>
      </c>
      <c r="H862" s="752" t="s">
        <v>1244</v>
      </c>
      <c r="I862" s="752" t="s">
        <v>60</v>
      </c>
      <c r="J862" s="751">
        <v>562213</v>
      </c>
      <c r="K862" s="751">
        <v>4</v>
      </c>
      <c r="L862" s="752" t="s">
        <v>422</v>
      </c>
      <c r="M862" s="752" t="s">
        <v>44</v>
      </c>
      <c r="N862" s="752" t="s">
        <v>48</v>
      </c>
      <c r="O862" s="752" t="s">
        <v>48</v>
      </c>
      <c r="P862" s="752" t="s">
        <v>49</v>
      </c>
      <c r="Q862" s="753">
        <v>0</v>
      </c>
      <c r="R862" s="753">
        <v>0</v>
      </c>
      <c r="S862" s="753">
        <v>0</v>
      </c>
      <c r="T862" s="753">
        <v>0</v>
      </c>
      <c r="U862" s="753">
        <v>0</v>
      </c>
      <c r="V862" s="751">
        <v>2019</v>
      </c>
      <c r="W862" s="222"/>
      <c r="X862" s="186" t="str">
        <f>IF(OR(K862&gt;3,T862=0,NOT(U862&gt;0)),"",T862/U862)</f>
        <v/>
      </c>
      <c r="Y862" s="178" t="str">
        <f t="shared" si="43"/>
        <v/>
      </c>
      <c r="Z862" s="178" t="str">
        <f t="shared" si="44"/>
        <v/>
      </c>
      <c r="AA862" s="44"/>
      <c r="AB862" s="65"/>
    </row>
    <row r="863" spans="1:28" ht="25" hidden="1">
      <c r="A863" s="751">
        <v>51038</v>
      </c>
      <c r="B863" s="752" t="s">
        <v>35</v>
      </c>
      <c r="C863" s="751" t="s">
        <v>2960</v>
      </c>
      <c r="D863" s="752" t="s">
        <v>982</v>
      </c>
      <c r="E863" s="752" t="s">
        <v>983</v>
      </c>
      <c r="F863" s="751">
        <v>56601</v>
      </c>
      <c r="G863" s="752" t="s">
        <v>59</v>
      </c>
      <c r="H863" s="752" t="s">
        <v>1244</v>
      </c>
      <c r="I863" s="752" t="s">
        <v>60</v>
      </c>
      <c r="J863" s="751">
        <v>562213</v>
      </c>
      <c r="K863" s="751">
        <v>4</v>
      </c>
      <c r="L863" s="752" t="s">
        <v>422</v>
      </c>
      <c r="M863" s="752" t="s">
        <v>44</v>
      </c>
      <c r="N863" s="752" t="s">
        <v>18</v>
      </c>
      <c r="O863" s="752" t="s">
        <v>66</v>
      </c>
      <c r="P863" s="752" t="s">
        <v>47</v>
      </c>
      <c r="Q863" s="753">
        <v>102641</v>
      </c>
      <c r="R863" s="753">
        <v>102641</v>
      </c>
      <c r="S863" s="753">
        <v>681468</v>
      </c>
      <c r="T863" s="753">
        <v>681468</v>
      </c>
      <c r="U863" s="753">
        <v>22229.626</v>
      </c>
      <c r="V863" s="751">
        <v>2019</v>
      </c>
      <c r="W863" s="222"/>
      <c r="X863" s="186" t="str">
        <f>IF(OR(K863&gt;3,T863=0,NOT(U863&gt;0)),"",T863/U863)</f>
        <v/>
      </c>
      <c r="Y863" s="178" t="str">
        <f t="shared" si="43"/>
        <v/>
      </c>
      <c r="Z863" s="178" t="str">
        <f t="shared" si="44"/>
        <v/>
      </c>
      <c r="AA863" s="44"/>
      <c r="AB863" s="65"/>
    </row>
    <row r="864" spans="1:28" ht="25" hidden="1">
      <c r="A864" s="751">
        <v>51038</v>
      </c>
      <c r="B864" s="752" t="s">
        <v>35</v>
      </c>
      <c r="C864" s="751" t="s">
        <v>2960</v>
      </c>
      <c r="D864" s="752" t="s">
        <v>982</v>
      </c>
      <c r="E864" s="752" t="s">
        <v>983</v>
      </c>
      <c r="F864" s="751">
        <v>56601</v>
      </c>
      <c r="G864" s="752" t="s">
        <v>59</v>
      </c>
      <c r="H864" s="752" t="s">
        <v>1244</v>
      </c>
      <c r="I864" s="752" t="s">
        <v>60</v>
      </c>
      <c r="J864" s="751">
        <v>562213</v>
      </c>
      <c r="K864" s="751">
        <v>4</v>
      </c>
      <c r="L864" s="752" t="s">
        <v>422</v>
      </c>
      <c r="M864" s="752" t="s">
        <v>44</v>
      </c>
      <c r="N864" s="752" t="s">
        <v>19</v>
      </c>
      <c r="O864" s="752" t="s">
        <v>84</v>
      </c>
      <c r="P864" s="752" t="s">
        <v>47</v>
      </c>
      <c r="Q864" s="753">
        <v>65622</v>
      </c>
      <c r="R864" s="753">
        <v>65622</v>
      </c>
      <c r="S864" s="753">
        <v>832902</v>
      </c>
      <c r="T864" s="753">
        <v>832902</v>
      </c>
      <c r="U864" s="753">
        <v>27169.41</v>
      </c>
      <c r="V864" s="751">
        <v>2019</v>
      </c>
      <c r="W864" s="222"/>
      <c r="X864" s="186"/>
      <c r="Y864" s="178" t="str">
        <f t="shared" si="43"/>
        <v/>
      </c>
      <c r="Z864" s="178" t="str">
        <f t="shared" si="44"/>
        <v/>
      </c>
      <c r="AA864" s="44"/>
      <c r="AB864" s="65"/>
    </row>
    <row r="865" spans="1:28" ht="25" hidden="1">
      <c r="A865" s="751">
        <v>51038</v>
      </c>
      <c r="B865" s="752" t="s">
        <v>35</v>
      </c>
      <c r="C865" s="751" t="s">
        <v>2960</v>
      </c>
      <c r="D865" s="752" t="s">
        <v>982</v>
      </c>
      <c r="E865" s="752" t="s">
        <v>983</v>
      </c>
      <c r="F865" s="751">
        <v>56601</v>
      </c>
      <c r="G865" s="752" t="s">
        <v>59</v>
      </c>
      <c r="H865" s="752" t="s">
        <v>1244</v>
      </c>
      <c r="I865" s="752" t="s">
        <v>60</v>
      </c>
      <c r="J865" s="751">
        <v>562213</v>
      </c>
      <c r="K865" s="751">
        <v>4</v>
      </c>
      <c r="L865" s="752" t="s">
        <v>422</v>
      </c>
      <c r="M865" s="752" t="s">
        <v>44</v>
      </c>
      <c r="N865" s="752" t="s">
        <v>41</v>
      </c>
      <c r="O865" s="752" t="s">
        <v>41</v>
      </c>
      <c r="P865" s="752" t="s">
        <v>1091</v>
      </c>
      <c r="Q865" s="753">
        <v>32031</v>
      </c>
      <c r="R865" s="753">
        <v>32031</v>
      </c>
      <c r="S865" s="753">
        <v>32031</v>
      </c>
      <c r="T865" s="753">
        <v>32031</v>
      </c>
      <c r="U865" s="753">
        <v>999.96400000000006</v>
      </c>
      <c r="V865" s="751">
        <v>2019</v>
      </c>
      <c r="W865" s="222"/>
      <c r="X865" s="186"/>
      <c r="Y865" s="86" t="str">
        <f t="shared" si="43"/>
        <v/>
      </c>
      <c r="Z865" s="86" t="str">
        <f t="shared" si="44"/>
        <v/>
      </c>
      <c r="AA865" s="44"/>
      <c r="AB865" s="65"/>
    </row>
    <row r="866" spans="1:28" ht="25" hidden="1">
      <c r="A866" s="751">
        <v>52024</v>
      </c>
      <c r="B866" s="752" t="s">
        <v>56</v>
      </c>
      <c r="C866" s="751" t="s">
        <v>2960</v>
      </c>
      <c r="D866" s="752" t="s">
        <v>984</v>
      </c>
      <c r="E866" s="752" t="s">
        <v>984</v>
      </c>
      <c r="F866" s="751">
        <v>16001</v>
      </c>
      <c r="G866" s="752" t="s">
        <v>136</v>
      </c>
      <c r="H866" s="752" t="s">
        <v>1245</v>
      </c>
      <c r="I866" s="752" t="s">
        <v>60</v>
      </c>
      <c r="J866" s="751">
        <v>622</v>
      </c>
      <c r="K866" s="751">
        <v>5</v>
      </c>
      <c r="L866" s="752" t="s">
        <v>423</v>
      </c>
      <c r="M866" s="752" t="s">
        <v>44</v>
      </c>
      <c r="N866" s="752" t="s">
        <v>41</v>
      </c>
      <c r="O866" s="752" t="s">
        <v>41</v>
      </c>
      <c r="P866" s="752" t="s">
        <v>1091</v>
      </c>
      <c r="Q866" s="753">
        <v>848864</v>
      </c>
      <c r="R866" s="753">
        <v>100337</v>
      </c>
      <c r="S866" s="753">
        <v>933751</v>
      </c>
      <c r="T866" s="753">
        <v>110370</v>
      </c>
      <c r="U866" s="753">
        <v>21025.969000000001</v>
      </c>
      <c r="V866" s="751">
        <v>2019</v>
      </c>
      <c r="W866" s="222"/>
      <c r="X866" s="186" t="str">
        <f t="shared" ref="X866:X877" si="45">IF(OR(K866&gt;3,T866=0,NOT(U866&gt;0)),"",T866/U866)</f>
        <v/>
      </c>
      <c r="Y866" s="86" t="str">
        <f t="shared" si="43"/>
        <v/>
      </c>
      <c r="Z866" s="86" t="str">
        <f t="shared" si="44"/>
        <v/>
      </c>
      <c r="AA866" s="44"/>
      <c r="AB866" s="65"/>
    </row>
    <row r="867" spans="1:28" ht="25" hidden="1">
      <c r="A867" s="751">
        <v>52024</v>
      </c>
      <c r="B867" s="752" t="s">
        <v>56</v>
      </c>
      <c r="C867" s="751" t="s">
        <v>2960</v>
      </c>
      <c r="D867" s="752" t="s">
        <v>984</v>
      </c>
      <c r="E867" s="752" t="s">
        <v>984</v>
      </c>
      <c r="F867" s="751">
        <v>16001</v>
      </c>
      <c r="G867" s="752" t="s">
        <v>136</v>
      </c>
      <c r="H867" s="752" t="s">
        <v>1245</v>
      </c>
      <c r="I867" s="752" t="s">
        <v>60</v>
      </c>
      <c r="J867" s="751">
        <v>622</v>
      </c>
      <c r="K867" s="751">
        <v>5</v>
      </c>
      <c r="L867" s="752" t="s">
        <v>423</v>
      </c>
      <c r="M867" s="752" t="s">
        <v>44</v>
      </c>
      <c r="N867" s="752" t="s">
        <v>63</v>
      </c>
      <c r="O867" s="752" t="s">
        <v>63</v>
      </c>
      <c r="P867" s="752" t="s">
        <v>49</v>
      </c>
      <c r="Q867" s="753">
        <v>17814</v>
      </c>
      <c r="R867" s="753">
        <v>1635</v>
      </c>
      <c r="S867" s="753">
        <v>114009</v>
      </c>
      <c r="T867" s="753">
        <v>10466</v>
      </c>
      <c r="U867" s="753">
        <v>1994.0309999999999</v>
      </c>
      <c r="V867" s="751">
        <v>2019</v>
      </c>
      <c r="W867" s="222"/>
      <c r="X867" s="186" t="str">
        <f t="shared" si="45"/>
        <v/>
      </c>
      <c r="Y867" s="86" t="str">
        <f t="shared" si="43"/>
        <v/>
      </c>
      <c r="Z867" s="86" t="str">
        <f t="shared" si="44"/>
        <v/>
      </c>
      <c r="AA867" s="44"/>
      <c r="AB867" s="65"/>
    </row>
    <row r="868" spans="1:28" ht="25" hidden="1">
      <c r="A868" s="751">
        <v>52026</v>
      </c>
      <c r="B868" s="752" t="s">
        <v>35</v>
      </c>
      <c r="C868" s="751" t="s">
        <v>2960</v>
      </c>
      <c r="D868" s="752" t="s">
        <v>1115</v>
      </c>
      <c r="E868" s="752" t="s">
        <v>1026</v>
      </c>
      <c r="F868" s="751">
        <v>56516</v>
      </c>
      <c r="G868" s="752" t="s">
        <v>83</v>
      </c>
      <c r="H868" s="752" t="s">
        <v>1245</v>
      </c>
      <c r="I868" s="752" t="s">
        <v>60</v>
      </c>
      <c r="J868" s="751">
        <v>22</v>
      </c>
      <c r="K868" s="751">
        <v>2</v>
      </c>
      <c r="L868" s="752" t="s">
        <v>54</v>
      </c>
      <c r="M868" s="752" t="s">
        <v>40</v>
      </c>
      <c r="N868" s="752" t="s">
        <v>48</v>
      </c>
      <c r="O868" s="752" t="s">
        <v>48</v>
      </c>
      <c r="P868" s="752" t="s">
        <v>49</v>
      </c>
      <c r="Q868" s="753">
        <v>0</v>
      </c>
      <c r="R868" s="753">
        <v>0</v>
      </c>
      <c r="S868" s="753">
        <v>0</v>
      </c>
      <c r="T868" s="753">
        <v>0</v>
      </c>
      <c r="U868" s="753">
        <v>0</v>
      </c>
      <c r="V868" s="751">
        <v>2019</v>
      </c>
      <c r="W868" s="222"/>
      <c r="X868" s="186" t="str">
        <f t="shared" si="45"/>
        <v/>
      </c>
      <c r="Y868" s="86" t="str">
        <f t="shared" si="43"/>
        <v/>
      </c>
      <c r="Z868" s="86" t="str">
        <f t="shared" si="44"/>
        <v/>
      </c>
      <c r="AA868" s="44"/>
      <c r="AB868" s="65"/>
    </row>
    <row r="869" spans="1:28" ht="25" hidden="1">
      <c r="A869" s="751">
        <v>52026</v>
      </c>
      <c r="B869" s="752" t="s">
        <v>35</v>
      </c>
      <c r="C869" s="751" t="s">
        <v>2960</v>
      </c>
      <c r="D869" s="752" t="s">
        <v>1115</v>
      </c>
      <c r="E869" s="752" t="s">
        <v>1026</v>
      </c>
      <c r="F869" s="751">
        <v>56516</v>
      </c>
      <c r="G869" s="752" t="s">
        <v>83</v>
      </c>
      <c r="H869" s="752" t="s">
        <v>1245</v>
      </c>
      <c r="I869" s="752" t="s">
        <v>60</v>
      </c>
      <c r="J869" s="751">
        <v>22</v>
      </c>
      <c r="K869" s="751">
        <v>2</v>
      </c>
      <c r="L869" s="752" t="s">
        <v>54</v>
      </c>
      <c r="M869" s="752" t="s">
        <v>40</v>
      </c>
      <c r="N869" s="752" t="s">
        <v>41</v>
      </c>
      <c r="O869" s="752" t="s">
        <v>41</v>
      </c>
      <c r="P869" s="752" t="s">
        <v>1091</v>
      </c>
      <c r="Q869" s="753">
        <v>4870</v>
      </c>
      <c r="R869" s="753">
        <v>4870</v>
      </c>
      <c r="S869" s="753">
        <v>4996</v>
      </c>
      <c r="T869" s="753">
        <v>4996</v>
      </c>
      <c r="U869" s="753">
        <v>0</v>
      </c>
      <c r="V869" s="751">
        <v>2019</v>
      </c>
      <c r="W869" s="222"/>
      <c r="X869" s="186" t="str">
        <f t="shared" si="45"/>
        <v/>
      </c>
      <c r="Y869" s="86" t="str">
        <f t="shared" si="43"/>
        <v/>
      </c>
      <c r="Z869" s="86" t="str">
        <f t="shared" si="44"/>
        <v/>
      </c>
      <c r="AA869" s="44"/>
      <c r="AB869" s="65"/>
    </row>
    <row r="870" spans="1:28" ht="25" hidden="1">
      <c r="A870" s="751">
        <v>52026</v>
      </c>
      <c r="B870" s="752" t="s">
        <v>35</v>
      </c>
      <c r="C870" s="751" t="s">
        <v>2960</v>
      </c>
      <c r="D870" s="752" t="s">
        <v>1115</v>
      </c>
      <c r="E870" s="752" t="s">
        <v>1026</v>
      </c>
      <c r="F870" s="751">
        <v>56516</v>
      </c>
      <c r="G870" s="752" t="s">
        <v>83</v>
      </c>
      <c r="H870" s="752" t="s">
        <v>1245</v>
      </c>
      <c r="I870" s="752" t="s">
        <v>60</v>
      </c>
      <c r="J870" s="751">
        <v>22</v>
      </c>
      <c r="K870" s="751">
        <v>2</v>
      </c>
      <c r="L870" s="752" t="s">
        <v>54</v>
      </c>
      <c r="M870" s="752" t="s">
        <v>43</v>
      </c>
      <c r="N870" s="752" t="s">
        <v>48</v>
      </c>
      <c r="O870" s="752" t="s">
        <v>48</v>
      </c>
      <c r="P870" s="752" t="s">
        <v>49</v>
      </c>
      <c r="Q870" s="753">
        <v>162</v>
      </c>
      <c r="R870" s="753">
        <v>162</v>
      </c>
      <c r="S870" s="753">
        <v>939</v>
      </c>
      <c r="T870" s="753">
        <v>939</v>
      </c>
      <c r="U870" s="753">
        <v>104.143</v>
      </c>
      <c r="V870" s="751">
        <v>2019</v>
      </c>
      <c r="W870" s="222"/>
      <c r="X870" s="186">
        <f t="shared" si="45"/>
        <v>9.0164485371076299</v>
      </c>
      <c r="Y870" s="86" t="str">
        <f t="shared" si="43"/>
        <v/>
      </c>
      <c r="Z870" s="86" t="str">
        <f t="shared" si="44"/>
        <v/>
      </c>
      <c r="AA870" s="44"/>
      <c r="AB870" s="65"/>
    </row>
    <row r="871" spans="1:28" ht="25" hidden="1">
      <c r="A871" s="751">
        <v>52026</v>
      </c>
      <c r="B871" s="752" t="s">
        <v>35</v>
      </c>
      <c r="C871" s="751" t="s">
        <v>2960</v>
      </c>
      <c r="D871" s="752" t="s">
        <v>1115</v>
      </c>
      <c r="E871" s="752" t="s">
        <v>1026</v>
      </c>
      <c r="F871" s="751">
        <v>56516</v>
      </c>
      <c r="G871" s="752" t="s">
        <v>83</v>
      </c>
      <c r="H871" s="752" t="s">
        <v>1245</v>
      </c>
      <c r="I871" s="752" t="s">
        <v>60</v>
      </c>
      <c r="J871" s="751">
        <v>22</v>
      </c>
      <c r="K871" s="751">
        <v>2</v>
      </c>
      <c r="L871" s="752" t="s">
        <v>54</v>
      </c>
      <c r="M871" s="752" t="s">
        <v>43</v>
      </c>
      <c r="N871" s="752" t="s">
        <v>41</v>
      </c>
      <c r="O871" s="752" t="s">
        <v>41</v>
      </c>
      <c r="P871" s="752" t="s">
        <v>1091</v>
      </c>
      <c r="Q871" s="753">
        <v>427406</v>
      </c>
      <c r="R871" s="753">
        <v>427406</v>
      </c>
      <c r="S871" s="753">
        <v>438911</v>
      </c>
      <c r="T871" s="753">
        <v>438911</v>
      </c>
      <c r="U871" s="753">
        <v>48414.857000000004</v>
      </c>
      <c r="V871" s="751">
        <v>2019</v>
      </c>
      <c r="W871" s="222"/>
      <c r="X871" s="186">
        <f t="shared" si="45"/>
        <v>9.0656262807922783</v>
      </c>
      <c r="Y871" s="178" t="str">
        <f t="shared" si="43"/>
        <v/>
      </c>
      <c r="Z871" s="178" t="str">
        <f t="shared" si="44"/>
        <v/>
      </c>
      <c r="AA871" s="44"/>
      <c r="AB871" s="65"/>
    </row>
    <row r="872" spans="1:28" s="154" customFormat="1" ht="25" hidden="1">
      <c r="A872" s="751">
        <v>52026</v>
      </c>
      <c r="B872" s="752" t="s">
        <v>35</v>
      </c>
      <c r="C872" s="751" t="s">
        <v>2960</v>
      </c>
      <c r="D872" s="752" t="s">
        <v>1115</v>
      </c>
      <c r="E872" s="752" t="s">
        <v>1026</v>
      </c>
      <c r="F872" s="751">
        <v>56516</v>
      </c>
      <c r="G872" s="752" t="s">
        <v>83</v>
      </c>
      <c r="H872" s="752" t="s">
        <v>1245</v>
      </c>
      <c r="I872" s="752" t="s">
        <v>60</v>
      </c>
      <c r="J872" s="751">
        <v>22</v>
      </c>
      <c r="K872" s="751">
        <v>2</v>
      </c>
      <c r="L872" s="752" t="s">
        <v>54</v>
      </c>
      <c r="M872" s="752" t="s">
        <v>52</v>
      </c>
      <c r="N872" s="752" t="s">
        <v>48</v>
      </c>
      <c r="O872" s="752" t="s">
        <v>48</v>
      </c>
      <c r="P872" s="752" t="s">
        <v>49</v>
      </c>
      <c r="Q872" s="753">
        <v>60</v>
      </c>
      <c r="R872" s="753">
        <v>60</v>
      </c>
      <c r="S872" s="753">
        <v>347</v>
      </c>
      <c r="T872" s="753">
        <v>347</v>
      </c>
      <c r="U872" s="753">
        <v>30.155999999999999</v>
      </c>
      <c r="V872" s="751">
        <v>2019</v>
      </c>
      <c r="W872" s="222"/>
      <c r="X872" s="186">
        <f t="shared" si="45"/>
        <v>11.506831144714154</v>
      </c>
      <c r="Y872" s="178" t="str">
        <f t="shared" si="43"/>
        <v/>
      </c>
      <c r="Z872" s="178" t="str">
        <f t="shared" si="44"/>
        <v/>
      </c>
      <c r="AA872" s="44"/>
      <c r="AB872" s="179"/>
    </row>
    <row r="873" spans="1:28" ht="25" hidden="1">
      <c r="A873" s="751">
        <v>52026</v>
      </c>
      <c r="B873" s="752" t="s">
        <v>35</v>
      </c>
      <c r="C873" s="751" t="s">
        <v>2960</v>
      </c>
      <c r="D873" s="752" t="s">
        <v>1115</v>
      </c>
      <c r="E873" s="752" t="s">
        <v>1026</v>
      </c>
      <c r="F873" s="751">
        <v>56516</v>
      </c>
      <c r="G873" s="752" t="s">
        <v>83</v>
      </c>
      <c r="H873" s="752" t="s">
        <v>1245</v>
      </c>
      <c r="I873" s="752" t="s">
        <v>60</v>
      </c>
      <c r="J873" s="751">
        <v>22</v>
      </c>
      <c r="K873" s="751">
        <v>2</v>
      </c>
      <c r="L873" s="752" t="s">
        <v>54</v>
      </c>
      <c r="M873" s="752" t="s">
        <v>52</v>
      </c>
      <c r="N873" s="752" t="s">
        <v>41</v>
      </c>
      <c r="O873" s="752" t="s">
        <v>41</v>
      </c>
      <c r="P873" s="752" t="s">
        <v>1091</v>
      </c>
      <c r="Q873" s="753">
        <v>68238</v>
      </c>
      <c r="R873" s="753">
        <v>68238</v>
      </c>
      <c r="S873" s="753">
        <v>70149</v>
      </c>
      <c r="T873" s="753">
        <v>70149</v>
      </c>
      <c r="U873" s="753">
        <v>6078.8440000000001</v>
      </c>
      <c r="V873" s="751">
        <v>2019</v>
      </c>
      <c r="W873" s="222"/>
      <c r="X873" s="186">
        <f t="shared" si="45"/>
        <v>11.539858565214043</v>
      </c>
      <c r="Y873" s="178" t="str">
        <f t="shared" si="43"/>
        <v/>
      </c>
      <c r="Z873" s="178" t="str">
        <f t="shared" si="44"/>
        <v/>
      </c>
      <c r="AA873" s="44"/>
      <c r="AB873" s="65"/>
    </row>
    <row r="874" spans="1:28" hidden="1">
      <c r="A874" s="751">
        <v>52056</v>
      </c>
      <c r="B874" s="752" t="s">
        <v>56</v>
      </c>
      <c r="C874" s="751" t="s">
        <v>2960</v>
      </c>
      <c r="D874" s="752" t="s">
        <v>985</v>
      </c>
      <c r="E874" s="752" t="s">
        <v>985</v>
      </c>
      <c r="F874" s="751">
        <v>19153</v>
      </c>
      <c r="G874" s="752" t="s">
        <v>59</v>
      </c>
      <c r="H874" s="752" t="s">
        <v>1244</v>
      </c>
      <c r="I874" s="752" t="s">
        <v>60</v>
      </c>
      <c r="J874" s="751">
        <v>22</v>
      </c>
      <c r="K874" s="751">
        <v>3</v>
      </c>
      <c r="L874" s="752" t="s">
        <v>57</v>
      </c>
      <c r="M874" s="752" t="s">
        <v>40</v>
      </c>
      <c r="N874" s="752" t="s">
        <v>48</v>
      </c>
      <c r="O874" s="752" t="s">
        <v>48</v>
      </c>
      <c r="P874" s="752" t="s">
        <v>49</v>
      </c>
      <c r="Q874" s="753">
        <v>0</v>
      </c>
      <c r="R874" s="753">
        <v>0</v>
      </c>
      <c r="S874" s="753">
        <v>0</v>
      </c>
      <c r="T874" s="753">
        <v>0</v>
      </c>
      <c r="U874" s="753">
        <v>345.411</v>
      </c>
      <c r="V874" s="751">
        <v>2019</v>
      </c>
      <c r="W874" s="222"/>
      <c r="X874" s="186" t="str">
        <f t="shared" si="45"/>
        <v/>
      </c>
      <c r="Y874" s="178" t="str">
        <f t="shared" si="43"/>
        <v/>
      </c>
      <c r="Z874" s="178" t="str">
        <f t="shared" si="44"/>
        <v/>
      </c>
      <c r="AA874" s="44"/>
      <c r="AB874" s="65"/>
    </row>
    <row r="875" spans="1:28" hidden="1">
      <c r="A875" s="751">
        <v>52056</v>
      </c>
      <c r="B875" s="752" t="s">
        <v>56</v>
      </c>
      <c r="C875" s="751" t="s">
        <v>2960</v>
      </c>
      <c r="D875" s="752" t="s">
        <v>985</v>
      </c>
      <c r="E875" s="752" t="s">
        <v>985</v>
      </c>
      <c r="F875" s="751">
        <v>19153</v>
      </c>
      <c r="G875" s="752" t="s">
        <v>59</v>
      </c>
      <c r="H875" s="752" t="s">
        <v>1244</v>
      </c>
      <c r="I875" s="752" t="s">
        <v>60</v>
      </c>
      <c r="J875" s="751">
        <v>22</v>
      </c>
      <c r="K875" s="751">
        <v>3</v>
      </c>
      <c r="L875" s="752" t="s">
        <v>57</v>
      </c>
      <c r="M875" s="752" t="s">
        <v>40</v>
      </c>
      <c r="N875" s="752" t="s">
        <v>41</v>
      </c>
      <c r="O875" s="752" t="s">
        <v>41</v>
      </c>
      <c r="P875" s="752" t="s">
        <v>1091</v>
      </c>
      <c r="Q875" s="753">
        <v>0</v>
      </c>
      <c r="R875" s="753">
        <v>0</v>
      </c>
      <c r="S875" s="753">
        <v>0</v>
      </c>
      <c r="T875" s="753">
        <v>0</v>
      </c>
      <c r="U875" s="753">
        <v>60839.279000000002</v>
      </c>
      <c r="V875" s="751">
        <v>2019</v>
      </c>
      <c r="W875" s="222"/>
      <c r="X875" s="186" t="str">
        <f t="shared" si="45"/>
        <v/>
      </c>
      <c r="Y875" s="178" t="str">
        <f t="shared" si="43"/>
        <v/>
      </c>
      <c r="Z875" s="178" t="str">
        <f t="shared" si="44"/>
        <v/>
      </c>
      <c r="AA875" s="44"/>
      <c r="AB875" s="65"/>
    </row>
    <row r="876" spans="1:28" hidden="1">
      <c r="A876" s="751">
        <v>52056</v>
      </c>
      <c r="B876" s="752" t="s">
        <v>56</v>
      </c>
      <c r="C876" s="751" t="s">
        <v>2960</v>
      </c>
      <c r="D876" s="752" t="s">
        <v>985</v>
      </c>
      <c r="E876" s="752" t="s">
        <v>985</v>
      </c>
      <c r="F876" s="751">
        <v>19153</v>
      </c>
      <c r="G876" s="752" t="s">
        <v>59</v>
      </c>
      <c r="H876" s="752" t="s">
        <v>1244</v>
      </c>
      <c r="I876" s="752" t="s">
        <v>60</v>
      </c>
      <c r="J876" s="751">
        <v>22</v>
      </c>
      <c r="K876" s="751">
        <v>3</v>
      </c>
      <c r="L876" s="752" t="s">
        <v>57</v>
      </c>
      <c r="M876" s="752" t="s">
        <v>43</v>
      </c>
      <c r="N876" s="752" t="s">
        <v>48</v>
      </c>
      <c r="O876" s="752" t="s">
        <v>48</v>
      </c>
      <c r="P876" s="752" t="s">
        <v>49</v>
      </c>
      <c r="Q876" s="753">
        <v>3299</v>
      </c>
      <c r="R876" s="753">
        <v>1596</v>
      </c>
      <c r="S876" s="753">
        <v>19352</v>
      </c>
      <c r="T876" s="753">
        <v>9363</v>
      </c>
      <c r="U876" s="753">
        <v>1571.126</v>
      </c>
      <c r="V876" s="751">
        <v>2019</v>
      </c>
      <c r="W876" s="222"/>
      <c r="X876" s="186">
        <f t="shared" si="45"/>
        <v>5.9594201865413723</v>
      </c>
      <c r="Y876" s="178" t="str">
        <f t="shared" si="43"/>
        <v/>
      </c>
      <c r="Z876" s="178" t="str">
        <f t="shared" si="44"/>
        <v/>
      </c>
      <c r="AA876" s="44"/>
      <c r="AB876" s="65"/>
    </row>
    <row r="877" spans="1:28" s="154" customFormat="1" hidden="1">
      <c r="A877" s="751">
        <v>52056</v>
      </c>
      <c r="B877" s="752" t="s">
        <v>56</v>
      </c>
      <c r="C877" s="751" t="s">
        <v>2960</v>
      </c>
      <c r="D877" s="752" t="s">
        <v>985</v>
      </c>
      <c r="E877" s="752" t="s">
        <v>985</v>
      </c>
      <c r="F877" s="751">
        <v>19153</v>
      </c>
      <c r="G877" s="752" t="s">
        <v>59</v>
      </c>
      <c r="H877" s="752" t="s">
        <v>1244</v>
      </c>
      <c r="I877" s="752" t="s">
        <v>60</v>
      </c>
      <c r="J877" s="751">
        <v>22</v>
      </c>
      <c r="K877" s="751">
        <v>3</v>
      </c>
      <c r="L877" s="752" t="s">
        <v>57</v>
      </c>
      <c r="M877" s="752" t="s">
        <v>43</v>
      </c>
      <c r="N877" s="752" t="s">
        <v>41</v>
      </c>
      <c r="O877" s="752" t="s">
        <v>41</v>
      </c>
      <c r="P877" s="752" t="s">
        <v>1091</v>
      </c>
      <c r="Q877" s="753">
        <v>3435745</v>
      </c>
      <c r="R877" s="753">
        <v>1659762</v>
      </c>
      <c r="S877" s="753">
        <v>3538817</v>
      </c>
      <c r="T877" s="753">
        <v>1709554</v>
      </c>
      <c r="U877" s="753">
        <v>289088.40000000002</v>
      </c>
      <c r="V877" s="751">
        <v>2019</v>
      </c>
      <c r="W877" s="222"/>
      <c r="X877" s="186">
        <f t="shared" si="45"/>
        <v>5.9136028979371007</v>
      </c>
      <c r="Y877" s="178" t="str">
        <f t="shared" si="43"/>
        <v/>
      </c>
      <c r="Z877" s="178" t="str">
        <f t="shared" si="44"/>
        <v/>
      </c>
      <c r="AA877" s="44"/>
      <c r="AB877" s="179"/>
    </row>
    <row r="878" spans="1:28" hidden="1">
      <c r="A878" s="751">
        <v>52058</v>
      </c>
      <c r="B878" s="752" t="s">
        <v>35</v>
      </c>
      <c r="C878" s="751" t="s">
        <v>2960</v>
      </c>
      <c r="D878" s="752" t="s">
        <v>986</v>
      </c>
      <c r="E878" s="752" t="s">
        <v>1769</v>
      </c>
      <c r="F878" s="751">
        <v>57184</v>
      </c>
      <c r="G878" s="752" t="s">
        <v>59</v>
      </c>
      <c r="H878" s="752" t="s">
        <v>1244</v>
      </c>
      <c r="I878" s="752" t="s">
        <v>60</v>
      </c>
      <c r="J878" s="751">
        <v>22</v>
      </c>
      <c r="K878" s="751">
        <v>2</v>
      </c>
      <c r="L878" s="752" t="s">
        <v>54</v>
      </c>
      <c r="M878" s="752" t="s">
        <v>37</v>
      </c>
      <c r="N878" s="752" t="s">
        <v>38</v>
      </c>
      <c r="O878" s="752" t="s">
        <v>39</v>
      </c>
      <c r="P878" s="752" t="s">
        <v>1238</v>
      </c>
      <c r="Q878" s="753">
        <v>0</v>
      </c>
      <c r="R878" s="753">
        <v>0</v>
      </c>
      <c r="S878" s="753">
        <v>76664</v>
      </c>
      <c r="T878" s="753">
        <v>76664</v>
      </c>
      <c r="U878" s="753">
        <v>8610</v>
      </c>
      <c r="V878" s="751">
        <v>2019</v>
      </c>
      <c r="W878" s="222"/>
      <c r="X878" s="186"/>
      <c r="Y878" s="178" t="str">
        <f t="shared" si="43"/>
        <v/>
      </c>
      <c r="Z878" s="178" t="str">
        <f t="shared" si="44"/>
        <v/>
      </c>
      <c r="AA878" s="44"/>
      <c r="AB878" s="65"/>
    </row>
    <row r="879" spans="1:28" ht="25" hidden="1">
      <c r="A879" s="751">
        <v>52061</v>
      </c>
      <c r="B879" s="752" t="s">
        <v>56</v>
      </c>
      <c r="C879" s="751" t="s">
        <v>2960</v>
      </c>
      <c r="D879" s="752" t="s">
        <v>987</v>
      </c>
      <c r="E879" s="752" t="s">
        <v>988</v>
      </c>
      <c r="F879" s="751">
        <v>8153</v>
      </c>
      <c r="G879" s="752" t="s">
        <v>43</v>
      </c>
      <c r="H879" s="752" t="s">
        <v>1245</v>
      </c>
      <c r="I879" s="752" t="s">
        <v>60</v>
      </c>
      <c r="J879" s="751">
        <v>622</v>
      </c>
      <c r="K879" s="751">
        <v>5</v>
      </c>
      <c r="L879" s="752" t="s">
        <v>423</v>
      </c>
      <c r="M879" s="752" t="s">
        <v>40</v>
      </c>
      <c r="N879" s="752" t="s">
        <v>48</v>
      </c>
      <c r="O879" s="752" t="s">
        <v>48</v>
      </c>
      <c r="P879" s="752" t="s">
        <v>49</v>
      </c>
      <c r="Q879" s="753">
        <v>0</v>
      </c>
      <c r="R879" s="753">
        <v>0</v>
      </c>
      <c r="S879" s="753">
        <v>0</v>
      </c>
      <c r="T879" s="753">
        <v>0</v>
      </c>
      <c r="U879" s="753">
        <v>0</v>
      </c>
      <c r="V879" s="751">
        <v>2019</v>
      </c>
      <c r="W879" s="222"/>
      <c r="X879" s="186"/>
      <c r="Y879" s="178" t="str">
        <f t="shared" si="43"/>
        <v/>
      </c>
      <c r="Z879" s="178" t="str">
        <f t="shared" si="44"/>
        <v/>
      </c>
      <c r="AA879" s="44"/>
      <c r="AB879" s="65"/>
    </row>
    <row r="880" spans="1:28" ht="25" hidden="1">
      <c r="A880" s="751">
        <v>52061</v>
      </c>
      <c r="B880" s="752" t="s">
        <v>56</v>
      </c>
      <c r="C880" s="751" t="s">
        <v>2960</v>
      </c>
      <c r="D880" s="752" t="s">
        <v>987</v>
      </c>
      <c r="E880" s="752" t="s">
        <v>988</v>
      </c>
      <c r="F880" s="751">
        <v>8153</v>
      </c>
      <c r="G880" s="752" t="s">
        <v>43</v>
      </c>
      <c r="H880" s="752" t="s">
        <v>1245</v>
      </c>
      <c r="I880" s="752" t="s">
        <v>60</v>
      </c>
      <c r="J880" s="751">
        <v>622</v>
      </c>
      <c r="K880" s="751">
        <v>5</v>
      </c>
      <c r="L880" s="752" t="s">
        <v>423</v>
      </c>
      <c r="M880" s="752" t="s">
        <v>40</v>
      </c>
      <c r="N880" s="752" t="s">
        <v>41</v>
      </c>
      <c r="O880" s="752" t="s">
        <v>41</v>
      </c>
      <c r="P880" s="752" t="s">
        <v>1091</v>
      </c>
      <c r="Q880" s="753">
        <v>17986</v>
      </c>
      <c r="R880" s="753">
        <v>0</v>
      </c>
      <c r="S880" s="753">
        <v>18472</v>
      </c>
      <c r="T880" s="753">
        <v>0</v>
      </c>
      <c r="U880" s="753">
        <v>0</v>
      </c>
      <c r="V880" s="751">
        <v>2019</v>
      </c>
      <c r="W880" s="222"/>
      <c r="X880" s="186" t="str">
        <f>IF(OR(K880&gt;3,T880=0,NOT(U880&gt;0)),"",T880/U880)</f>
        <v/>
      </c>
      <c r="Y880" s="178" t="str">
        <f t="shared" si="43"/>
        <v/>
      </c>
      <c r="Z880" s="178" t="str">
        <f t="shared" si="44"/>
        <v/>
      </c>
      <c r="AA880" s="44"/>
      <c r="AB880" s="65"/>
    </row>
    <row r="881" spans="1:28" ht="25" hidden="1">
      <c r="A881" s="751">
        <v>52061</v>
      </c>
      <c r="B881" s="752" t="s">
        <v>56</v>
      </c>
      <c r="C881" s="751" t="s">
        <v>2960</v>
      </c>
      <c r="D881" s="752" t="s">
        <v>987</v>
      </c>
      <c r="E881" s="752" t="s">
        <v>988</v>
      </c>
      <c r="F881" s="751">
        <v>8153</v>
      </c>
      <c r="G881" s="752" t="s">
        <v>43</v>
      </c>
      <c r="H881" s="752" t="s">
        <v>1245</v>
      </c>
      <c r="I881" s="752" t="s">
        <v>60</v>
      </c>
      <c r="J881" s="751">
        <v>622</v>
      </c>
      <c r="K881" s="751">
        <v>5</v>
      </c>
      <c r="L881" s="752" t="s">
        <v>423</v>
      </c>
      <c r="M881" s="752" t="s">
        <v>43</v>
      </c>
      <c r="N881" s="752" t="s">
        <v>48</v>
      </c>
      <c r="O881" s="752" t="s">
        <v>48</v>
      </c>
      <c r="P881" s="752" t="s">
        <v>49</v>
      </c>
      <c r="Q881" s="753">
        <v>1</v>
      </c>
      <c r="R881" s="753">
        <v>0</v>
      </c>
      <c r="S881" s="753">
        <v>6</v>
      </c>
      <c r="T881" s="753">
        <v>2</v>
      </c>
      <c r="U881" s="753">
        <v>0.40799999999999997</v>
      </c>
      <c r="V881" s="751">
        <v>2019</v>
      </c>
      <c r="W881" s="222"/>
      <c r="X881" s="186" t="str">
        <f>IF(OR(K881&gt;3,T881=0,NOT(U881&gt;0)),"",T881/U881)</f>
        <v/>
      </c>
      <c r="Y881" s="178" t="str">
        <f t="shared" si="43"/>
        <v/>
      </c>
      <c r="Z881" s="178" t="str">
        <f t="shared" si="44"/>
        <v/>
      </c>
      <c r="AA881" s="44"/>
      <c r="AB881" s="65"/>
    </row>
    <row r="882" spans="1:28" ht="25" hidden="1">
      <c r="A882" s="751">
        <v>52061</v>
      </c>
      <c r="B882" s="752" t="s">
        <v>56</v>
      </c>
      <c r="C882" s="751" t="s">
        <v>2960</v>
      </c>
      <c r="D882" s="752" t="s">
        <v>987</v>
      </c>
      <c r="E882" s="752" t="s">
        <v>988</v>
      </c>
      <c r="F882" s="751">
        <v>8153</v>
      </c>
      <c r="G882" s="752" t="s">
        <v>43</v>
      </c>
      <c r="H882" s="752" t="s">
        <v>1245</v>
      </c>
      <c r="I882" s="752" t="s">
        <v>60</v>
      </c>
      <c r="J882" s="751">
        <v>622</v>
      </c>
      <c r="K882" s="751">
        <v>5</v>
      </c>
      <c r="L882" s="752" t="s">
        <v>423</v>
      </c>
      <c r="M882" s="752" t="s">
        <v>43</v>
      </c>
      <c r="N882" s="752" t="s">
        <v>41</v>
      </c>
      <c r="O882" s="752" t="s">
        <v>41</v>
      </c>
      <c r="P882" s="752" t="s">
        <v>1091</v>
      </c>
      <c r="Q882" s="753">
        <v>535681</v>
      </c>
      <c r="R882" s="753">
        <v>230289</v>
      </c>
      <c r="S882" s="753">
        <v>550146</v>
      </c>
      <c r="T882" s="753">
        <v>236507</v>
      </c>
      <c r="U882" s="753">
        <v>40038.591999999997</v>
      </c>
      <c r="V882" s="751">
        <v>2019</v>
      </c>
      <c r="W882" s="222"/>
      <c r="X882" s="186" t="str">
        <f>IF(OR(K882&gt;3,T882=0,NOT(U882&gt;0)),"",T882/U882)</f>
        <v/>
      </c>
      <c r="Y882" s="178" t="str">
        <f t="shared" si="43"/>
        <v/>
      </c>
      <c r="Z882" s="178" t="str">
        <f t="shared" si="44"/>
        <v/>
      </c>
      <c r="AA882" s="44"/>
      <c r="AB882" s="65"/>
    </row>
    <row r="883" spans="1:28" ht="25" hidden="1">
      <c r="A883" s="751">
        <v>52061</v>
      </c>
      <c r="B883" s="752" t="s">
        <v>56</v>
      </c>
      <c r="C883" s="751" t="s">
        <v>2960</v>
      </c>
      <c r="D883" s="752" t="s">
        <v>987</v>
      </c>
      <c r="E883" s="752" t="s">
        <v>988</v>
      </c>
      <c r="F883" s="751">
        <v>8153</v>
      </c>
      <c r="G883" s="752" t="s">
        <v>43</v>
      </c>
      <c r="H883" s="752" t="s">
        <v>1245</v>
      </c>
      <c r="I883" s="752" t="s">
        <v>60</v>
      </c>
      <c r="J883" s="751">
        <v>622</v>
      </c>
      <c r="K883" s="751">
        <v>5</v>
      </c>
      <c r="L883" s="752" t="s">
        <v>423</v>
      </c>
      <c r="M883" s="752" t="s">
        <v>1322</v>
      </c>
      <c r="N883" s="752" t="s">
        <v>41</v>
      </c>
      <c r="O883" s="752" t="s">
        <v>41</v>
      </c>
      <c r="P883" s="752" t="s">
        <v>1091</v>
      </c>
      <c r="Q883" s="753">
        <v>96119</v>
      </c>
      <c r="R883" s="753">
        <v>58890</v>
      </c>
      <c r="S883" s="753">
        <v>98715</v>
      </c>
      <c r="T883" s="753">
        <v>60481</v>
      </c>
      <c r="U883" s="753">
        <v>11296</v>
      </c>
      <c r="V883" s="751">
        <v>2019</v>
      </c>
      <c r="W883" s="222"/>
      <c r="X883" s="186" t="str">
        <f>IF(OR(K883&gt;3,T883=0,NOT(U883&gt;0)),"",T883/U883)</f>
        <v/>
      </c>
      <c r="Y883" s="86" t="str">
        <f t="shared" si="43"/>
        <v/>
      </c>
      <c r="Z883" s="86" t="str">
        <f t="shared" si="44"/>
        <v/>
      </c>
      <c r="AA883" s="44"/>
      <c r="AB883" s="65"/>
    </row>
    <row r="884" spans="1:28" hidden="1">
      <c r="A884" s="751">
        <v>52091</v>
      </c>
      <c r="B884" s="752" t="s">
        <v>35</v>
      </c>
      <c r="C884" s="751" t="s">
        <v>2960</v>
      </c>
      <c r="D884" s="752" t="s">
        <v>2461</v>
      </c>
      <c r="E884" s="752" t="s">
        <v>2461</v>
      </c>
      <c r="F884" s="751">
        <v>13484</v>
      </c>
      <c r="G884" s="752" t="s">
        <v>59</v>
      </c>
      <c r="H884" s="752" t="s">
        <v>1244</v>
      </c>
      <c r="I884" s="752" t="s">
        <v>60</v>
      </c>
      <c r="J884" s="751">
        <v>22</v>
      </c>
      <c r="K884" s="751">
        <v>2</v>
      </c>
      <c r="L884" s="752" t="s">
        <v>54</v>
      </c>
      <c r="M884" s="752" t="s">
        <v>53</v>
      </c>
      <c r="N884" s="752" t="s">
        <v>48</v>
      </c>
      <c r="O884" s="752" t="s">
        <v>48</v>
      </c>
      <c r="P884" s="752" t="s">
        <v>49</v>
      </c>
      <c r="Q884" s="753">
        <v>43</v>
      </c>
      <c r="R884" s="753">
        <v>43</v>
      </c>
      <c r="S884" s="753">
        <v>237</v>
      </c>
      <c r="T884" s="753">
        <v>237</v>
      </c>
      <c r="U884" s="753">
        <v>25</v>
      </c>
      <c r="V884" s="751">
        <v>2019</v>
      </c>
      <c r="W884" s="222"/>
      <c r="X884" s="186"/>
      <c r="Y884" s="86" t="str">
        <f t="shared" si="43"/>
        <v/>
      </c>
      <c r="Z884" s="86" t="str">
        <f t="shared" si="44"/>
        <v/>
      </c>
      <c r="AA884" s="44"/>
      <c r="AB884" s="65"/>
    </row>
    <row r="885" spans="1:28" hidden="1">
      <c r="A885" s="751">
        <v>52091</v>
      </c>
      <c r="B885" s="752" t="s">
        <v>35</v>
      </c>
      <c r="C885" s="751" t="s">
        <v>2960</v>
      </c>
      <c r="D885" s="752" t="s">
        <v>2461</v>
      </c>
      <c r="E885" s="752" t="s">
        <v>2461</v>
      </c>
      <c r="F885" s="751">
        <v>13484</v>
      </c>
      <c r="G885" s="752" t="s">
        <v>59</v>
      </c>
      <c r="H885" s="752" t="s">
        <v>1244</v>
      </c>
      <c r="I885" s="752" t="s">
        <v>60</v>
      </c>
      <c r="J885" s="751">
        <v>22</v>
      </c>
      <c r="K885" s="751">
        <v>2</v>
      </c>
      <c r="L885" s="752" t="s">
        <v>54</v>
      </c>
      <c r="M885" s="752" t="s">
        <v>53</v>
      </c>
      <c r="N885" s="752" t="s">
        <v>41</v>
      </c>
      <c r="O885" s="752" t="s">
        <v>41</v>
      </c>
      <c r="P885" s="752" t="s">
        <v>1091</v>
      </c>
      <c r="Q885" s="753">
        <v>0</v>
      </c>
      <c r="R885" s="753">
        <v>0</v>
      </c>
      <c r="S885" s="753">
        <v>0</v>
      </c>
      <c r="T885" s="753">
        <v>0</v>
      </c>
      <c r="U885" s="753">
        <v>0</v>
      </c>
      <c r="V885" s="751">
        <v>2019</v>
      </c>
      <c r="W885" s="222"/>
      <c r="X885" s="186" t="str">
        <f>IF(OR(K885&gt;3,T885=0,NOT(U885&gt;0)),"",T885/U885)</f>
        <v/>
      </c>
      <c r="Y885" s="86" t="str">
        <f t="shared" si="43"/>
        <v/>
      </c>
      <c r="Z885" s="86" t="str">
        <f t="shared" si="44"/>
        <v/>
      </c>
      <c r="AA885" s="44"/>
      <c r="AB885" s="65"/>
    </row>
    <row r="886" spans="1:28" hidden="1">
      <c r="A886" s="751">
        <v>52166</v>
      </c>
      <c r="B886" s="752" t="s">
        <v>35</v>
      </c>
      <c r="C886" s="751" t="s">
        <v>2960</v>
      </c>
      <c r="D886" s="752" t="s">
        <v>989</v>
      </c>
      <c r="E886" s="752" t="s">
        <v>2974</v>
      </c>
      <c r="F886" s="751">
        <v>63181</v>
      </c>
      <c r="G886" s="752" t="s">
        <v>83</v>
      </c>
      <c r="H886" s="752" t="s">
        <v>1245</v>
      </c>
      <c r="I886" s="752" t="s">
        <v>60</v>
      </c>
      <c r="J886" s="751">
        <v>22</v>
      </c>
      <c r="K886" s="751">
        <v>2</v>
      </c>
      <c r="L886" s="752" t="s">
        <v>54</v>
      </c>
      <c r="M886" s="752" t="s">
        <v>37</v>
      </c>
      <c r="N886" s="752" t="s">
        <v>38</v>
      </c>
      <c r="O886" s="752" t="s">
        <v>39</v>
      </c>
      <c r="P886" s="752" t="s">
        <v>1238</v>
      </c>
      <c r="Q886" s="753">
        <v>0</v>
      </c>
      <c r="R886" s="753">
        <v>0</v>
      </c>
      <c r="S886" s="753">
        <v>42677</v>
      </c>
      <c r="T886" s="753">
        <v>42677</v>
      </c>
      <c r="U886" s="753">
        <v>4793</v>
      </c>
      <c r="V886" s="751">
        <v>2019</v>
      </c>
      <c r="W886" s="222"/>
      <c r="X886" s="186">
        <f>IF(OR(K886&gt;3,T886=0,NOT(U886&gt;0)),"",T886/U886)</f>
        <v>8.9040267056123508</v>
      </c>
      <c r="Y886" s="86" t="str">
        <f t="shared" si="43"/>
        <v/>
      </c>
      <c r="Z886" s="86" t="str">
        <f t="shared" si="44"/>
        <v/>
      </c>
      <c r="AA886" s="44"/>
      <c r="AB886" s="65"/>
    </row>
    <row r="887" spans="1:28" ht="25" hidden="1">
      <c r="A887" s="751">
        <v>52168</v>
      </c>
      <c r="B887" s="752" t="s">
        <v>56</v>
      </c>
      <c r="C887" s="751" t="s">
        <v>2960</v>
      </c>
      <c r="D887" s="752" t="s">
        <v>2022</v>
      </c>
      <c r="E887" s="752" t="s">
        <v>2023</v>
      </c>
      <c r="F887" s="751">
        <v>24210</v>
      </c>
      <c r="G887" s="752" t="s">
        <v>59</v>
      </c>
      <c r="H887" s="752" t="s">
        <v>1244</v>
      </c>
      <c r="I887" s="752" t="s">
        <v>60</v>
      </c>
      <c r="J887" s="751">
        <v>814</v>
      </c>
      <c r="K887" s="751">
        <v>5</v>
      </c>
      <c r="L887" s="752" t="s">
        <v>423</v>
      </c>
      <c r="M887" s="752" t="s">
        <v>52</v>
      </c>
      <c r="N887" s="752" t="s">
        <v>48</v>
      </c>
      <c r="O887" s="752" t="s">
        <v>48</v>
      </c>
      <c r="P887" s="752" t="s">
        <v>49</v>
      </c>
      <c r="Q887" s="753">
        <v>8007</v>
      </c>
      <c r="R887" s="753">
        <v>2770</v>
      </c>
      <c r="S887" s="753">
        <v>46083</v>
      </c>
      <c r="T887" s="753">
        <v>15940</v>
      </c>
      <c r="U887" s="753">
        <v>2929.806</v>
      </c>
      <c r="V887" s="751">
        <v>2019</v>
      </c>
      <c r="W887" s="222"/>
      <c r="X887" s="186"/>
      <c r="Y887" s="86" t="str">
        <f t="shared" si="43"/>
        <v/>
      </c>
      <c r="Z887" s="86">
        <f t="shared" si="44"/>
        <v>6.0496260739553298</v>
      </c>
      <c r="AA887" s="44"/>
      <c r="AB887" s="65"/>
    </row>
    <row r="888" spans="1:28" ht="25" hidden="1">
      <c r="A888" s="751">
        <v>52168</v>
      </c>
      <c r="B888" s="752" t="s">
        <v>56</v>
      </c>
      <c r="C888" s="751" t="s">
        <v>2960</v>
      </c>
      <c r="D888" s="752" t="s">
        <v>2022</v>
      </c>
      <c r="E888" s="752" t="s">
        <v>2023</v>
      </c>
      <c r="F888" s="751">
        <v>24210</v>
      </c>
      <c r="G888" s="752" t="s">
        <v>59</v>
      </c>
      <c r="H888" s="752" t="s">
        <v>1244</v>
      </c>
      <c r="I888" s="752" t="s">
        <v>60</v>
      </c>
      <c r="J888" s="751">
        <v>814</v>
      </c>
      <c r="K888" s="751">
        <v>5</v>
      </c>
      <c r="L888" s="752" t="s">
        <v>423</v>
      </c>
      <c r="M888" s="752" t="s">
        <v>52</v>
      </c>
      <c r="N888" s="752" t="s">
        <v>41</v>
      </c>
      <c r="O888" s="752" t="s">
        <v>41</v>
      </c>
      <c r="P888" s="752" t="s">
        <v>1091</v>
      </c>
      <c r="Q888" s="753">
        <v>1823101</v>
      </c>
      <c r="R888" s="753">
        <v>630577</v>
      </c>
      <c r="S888" s="753">
        <v>1883264</v>
      </c>
      <c r="T888" s="753">
        <v>651387</v>
      </c>
      <c r="U888" s="753">
        <v>119738.75</v>
      </c>
      <c r="V888" s="751">
        <v>2019</v>
      </c>
      <c r="W888" s="222"/>
      <c r="X888" s="186" t="str">
        <f>IF(OR(K888&gt;3,T888=0,NOT(U888&gt;0)),"",T888/U888)</f>
        <v/>
      </c>
      <c r="Y888" s="86">
        <f t="shared" si="43"/>
        <v>6.049272334079884</v>
      </c>
      <c r="Z888" s="86" t="str">
        <f t="shared" si="44"/>
        <v/>
      </c>
      <c r="AA888" s="44"/>
      <c r="AB888" s="65"/>
    </row>
    <row r="889" spans="1:28" ht="25" hidden="1">
      <c r="A889" s="751">
        <v>52168</v>
      </c>
      <c r="B889" s="752" t="s">
        <v>56</v>
      </c>
      <c r="C889" s="751" t="s">
        <v>2960</v>
      </c>
      <c r="D889" s="752" t="s">
        <v>2022</v>
      </c>
      <c r="E889" s="752" t="s">
        <v>2023</v>
      </c>
      <c r="F889" s="751">
        <v>24210</v>
      </c>
      <c r="G889" s="752" t="s">
        <v>59</v>
      </c>
      <c r="H889" s="752" t="s">
        <v>1244</v>
      </c>
      <c r="I889" s="752" t="s">
        <v>60</v>
      </c>
      <c r="J889" s="751">
        <v>814</v>
      </c>
      <c r="K889" s="751">
        <v>5</v>
      </c>
      <c r="L889" s="752" t="s">
        <v>423</v>
      </c>
      <c r="M889" s="752" t="s">
        <v>52</v>
      </c>
      <c r="N889" s="752" t="s">
        <v>63</v>
      </c>
      <c r="O889" s="752" t="s">
        <v>63</v>
      </c>
      <c r="P889" s="752" t="s">
        <v>49</v>
      </c>
      <c r="Q889" s="753">
        <v>0</v>
      </c>
      <c r="R889" s="753">
        <v>0</v>
      </c>
      <c r="S889" s="753">
        <v>0</v>
      </c>
      <c r="T889" s="753">
        <v>0</v>
      </c>
      <c r="U889" s="753">
        <v>0</v>
      </c>
      <c r="V889" s="751">
        <v>2019</v>
      </c>
      <c r="W889" s="222"/>
      <c r="X889" s="186" t="str">
        <f>IF(OR(K889&gt;3,T889=0,NOT(U889&gt;0)),"",T889/U889)</f>
        <v/>
      </c>
      <c r="Y889" s="86" t="str">
        <f t="shared" si="43"/>
        <v/>
      </c>
      <c r="Z889" s="86" t="str">
        <f t="shared" si="44"/>
        <v/>
      </c>
      <c r="AA889" s="44"/>
      <c r="AB889" s="65"/>
    </row>
    <row r="890" spans="1:28" ht="25" hidden="1">
      <c r="A890" s="751">
        <v>52168</v>
      </c>
      <c r="B890" s="752" t="s">
        <v>56</v>
      </c>
      <c r="C890" s="751" t="s">
        <v>2960</v>
      </c>
      <c r="D890" s="752" t="s">
        <v>2022</v>
      </c>
      <c r="E890" s="752" t="s">
        <v>2023</v>
      </c>
      <c r="F890" s="751">
        <v>24210</v>
      </c>
      <c r="G890" s="752" t="s">
        <v>59</v>
      </c>
      <c r="H890" s="752" t="s">
        <v>1244</v>
      </c>
      <c r="I890" s="752" t="s">
        <v>60</v>
      </c>
      <c r="J890" s="751">
        <v>814</v>
      </c>
      <c r="K890" s="751">
        <v>5</v>
      </c>
      <c r="L890" s="752" t="s">
        <v>423</v>
      </c>
      <c r="M890" s="752" t="s">
        <v>53</v>
      </c>
      <c r="N890" s="752" t="s">
        <v>48</v>
      </c>
      <c r="O890" s="752" t="s">
        <v>48</v>
      </c>
      <c r="P890" s="752" t="s">
        <v>49</v>
      </c>
      <c r="Q890" s="753">
        <v>98</v>
      </c>
      <c r="R890" s="753">
        <v>46</v>
      </c>
      <c r="S890" s="753">
        <v>564</v>
      </c>
      <c r="T890" s="753">
        <v>262</v>
      </c>
      <c r="U890" s="753">
        <v>49</v>
      </c>
      <c r="V890" s="751">
        <v>2019</v>
      </c>
      <c r="W890" s="222"/>
      <c r="X890" s="186"/>
      <c r="Y890" s="86" t="str">
        <f t="shared" si="43"/>
        <v/>
      </c>
      <c r="Z890" s="86" t="str">
        <f t="shared" si="44"/>
        <v/>
      </c>
      <c r="AA890" s="44"/>
      <c r="AB890" s="65"/>
    </row>
    <row r="891" spans="1:28" ht="25" hidden="1">
      <c r="A891" s="751">
        <v>52168</v>
      </c>
      <c r="B891" s="752" t="s">
        <v>56</v>
      </c>
      <c r="C891" s="751" t="s">
        <v>2960</v>
      </c>
      <c r="D891" s="752" t="s">
        <v>2022</v>
      </c>
      <c r="E891" s="752" t="s">
        <v>2023</v>
      </c>
      <c r="F891" s="751">
        <v>24210</v>
      </c>
      <c r="G891" s="752" t="s">
        <v>59</v>
      </c>
      <c r="H891" s="752" t="s">
        <v>1244</v>
      </c>
      <c r="I891" s="752" t="s">
        <v>60</v>
      </c>
      <c r="J891" s="751">
        <v>814</v>
      </c>
      <c r="K891" s="751">
        <v>5</v>
      </c>
      <c r="L891" s="752" t="s">
        <v>423</v>
      </c>
      <c r="M891" s="752" t="s">
        <v>44</v>
      </c>
      <c r="N891" s="752" t="s">
        <v>48</v>
      </c>
      <c r="O891" s="752" t="s">
        <v>48</v>
      </c>
      <c r="P891" s="752" t="s">
        <v>49</v>
      </c>
      <c r="Q891" s="753">
        <v>8007</v>
      </c>
      <c r="R891" s="753">
        <v>391</v>
      </c>
      <c r="S891" s="753">
        <v>46081</v>
      </c>
      <c r="T891" s="753">
        <v>2251</v>
      </c>
      <c r="U891" s="753">
        <v>409.63499999999999</v>
      </c>
      <c r="V891" s="751">
        <v>2019</v>
      </c>
      <c r="W891" s="222"/>
      <c r="X891" s="186" t="str">
        <f>IF(OR(K891&gt;3,T891=0,NOT(U891&gt;0)),"",T891/U891)</f>
        <v/>
      </c>
      <c r="Y891" s="178" t="str">
        <f t="shared" si="43"/>
        <v/>
      </c>
      <c r="Z891" s="178" t="str">
        <f t="shared" si="44"/>
        <v/>
      </c>
      <c r="AA891" s="44"/>
      <c r="AB891" s="65"/>
    </row>
    <row r="892" spans="1:28" s="154" customFormat="1" ht="25" hidden="1">
      <c r="A892" s="751">
        <v>52168</v>
      </c>
      <c r="B892" s="752" t="s">
        <v>56</v>
      </c>
      <c r="C892" s="751" t="s">
        <v>2960</v>
      </c>
      <c r="D892" s="752" t="s">
        <v>2022</v>
      </c>
      <c r="E892" s="752" t="s">
        <v>2023</v>
      </c>
      <c r="F892" s="751">
        <v>24210</v>
      </c>
      <c r="G892" s="752" t="s">
        <v>59</v>
      </c>
      <c r="H892" s="752" t="s">
        <v>1244</v>
      </c>
      <c r="I892" s="752" t="s">
        <v>60</v>
      </c>
      <c r="J892" s="751">
        <v>814</v>
      </c>
      <c r="K892" s="751">
        <v>5</v>
      </c>
      <c r="L892" s="752" t="s">
        <v>423</v>
      </c>
      <c r="M892" s="752" t="s">
        <v>44</v>
      </c>
      <c r="N892" s="752" t="s">
        <v>41</v>
      </c>
      <c r="O892" s="752" t="s">
        <v>41</v>
      </c>
      <c r="P892" s="752" t="s">
        <v>1091</v>
      </c>
      <c r="Q892" s="753">
        <v>1825847</v>
      </c>
      <c r="R892" s="753">
        <v>203019</v>
      </c>
      <c r="S892" s="753">
        <v>1886101</v>
      </c>
      <c r="T892" s="753">
        <v>209717</v>
      </c>
      <c r="U892" s="753">
        <v>38157.565000000002</v>
      </c>
      <c r="V892" s="751">
        <v>2019</v>
      </c>
      <c r="W892" s="222"/>
      <c r="X892" s="186" t="str">
        <f>IF(OR(K892&gt;3,T892=0,NOT(U892&gt;0)),"",T892/U892)</f>
        <v/>
      </c>
      <c r="Y892" s="178" t="str">
        <f t="shared" si="43"/>
        <v/>
      </c>
      <c r="Z892" s="178" t="str">
        <f t="shared" si="44"/>
        <v/>
      </c>
      <c r="AA892" s="44"/>
      <c r="AB892" s="179"/>
    </row>
    <row r="893" spans="1:28" ht="25" hidden="1">
      <c r="A893" s="751">
        <v>52168</v>
      </c>
      <c r="B893" s="752" t="s">
        <v>56</v>
      </c>
      <c r="C893" s="751" t="s">
        <v>2960</v>
      </c>
      <c r="D893" s="752" t="s">
        <v>2022</v>
      </c>
      <c r="E893" s="752" t="s">
        <v>2023</v>
      </c>
      <c r="F893" s="751">
        <v>24210</v>
      </c>
      <c r="G893" s="752" t="s">
        <v>59</v>
      </c>
      <c r="H893" s="752" t="s">
        <v>1244</v>
      </c>
      <c r="I893" s="752" t="s">
        <v>60</v>
      </c>
      <c r="J893" s="751">
        <v>814</v>
      </c>
      <c r="K893" s="751">
        <v>5</v>
      </c>
      <c r="L893" s="752" t="s">
        <v>423</v>
      </c>
      <c r="M893" s="752" t="s">
        <v>44</v>
      </c>
      <c r="N893" s="752" t="s">
        <v>63</v>
      </c>
      <c r="O893" s="752" t="s">
        <v>63</v>
      </c>
      <c r="P893" s="752" t="s">
        <v>49</v>
      </c>
      <c r="Q893" s="753">
        <v>0</v>
      </c>
      <c r="R893" s="753">
        <v>0</v>
      </c>
      <c r="S893" s="753">
        <v>0</v>
      </c>
      <c r="T893" s="753">
        <v>0</v>
      </c>
      <c r="U893" s="753">
        <v>0</v>
      </c>
      <c r="V893" s="751">
        <v>2019</v>
      </c>
      <c r="W893" s="222"/>
      <c r="X893" s="186" t="str">
        <f>IF(OR(K893&gt;3,T893=0,NOT(U893&gt;0)),"",T893/U893)</f>
        <v/>
      </c>
      <c r="Y893" s="178" t="str">
        <f t="shared" si="43"/>
        <v/>
      </c>
      <c r="Z893" s="178" t="str">
        <f t="shared" si="44"/>
        <v/>
      </c>
      <c r="AA893" s="44"/>
      <c r="AB893" s="65"/>
    </row>
    <row r="894" spans="1:28" ht="25" hidden="1">
      <c r="A894" s="751">
        <v>52171</v>
      </c>
      <c r="B894" s="752" t="s">
        <v>35</v>
      </c>
      <c r="C894" s="751" t="s">
        <v>2960</v>
      </c>
      <c r="D894" s="752" t="s">
        <v>1116</v>
      </c>
      <c r="E894" s="752" t="s">
        <v>1108</v>
      </c>
      <c r="F894" s="751">
        <v>56838</v>
      </c>
      <c r="G894" s="752" t="s">
        <v>92</v>
      </c>
      <c r="H894" s="752" t="s">
        <v>1245</v>
      </c>
      <c r="I894" s="752" t="s">
        <v>60</v>
      </c>
      <c r="J894" s="751">
        <v>22</v>
      </c>
      <c r="K894" s="751">
        <v>2</v>
      </c>
      <c r="L894" s="752" t="s">
        <v>54</v>
      </c>
      <c r="M894" s="752" t="s">
        <v>37</v>
      </c>
      <c r="N894" s="752" t="s">
        <v>38</v>
      </c>
      <c r="O894" s="752" t="s">
        <v>39</v>
      </c>
      <c r="P894" s="752" t="s">
        <v>1238</v>
      </c>
      <c r="Q894" s="753">
        <v>0</v>
      </c>
      <c r="R894" s="753">
        <v>0</v>
      </c>
      <c r="S894" s="753">
        <v>37540</v>
      </c>
      <c r="T894" s="753">
        <v>37540</v>
      </c>
      <c r="U894" s="753">
        <v>4216</v>
      </c>
      <c r="V894" s="751">
        <v>2019</v>
      </c>
      <c r="W894" s="222"/>
      <c r="X894" s="186"/>
      <c r="Y894" s="178" t="str">
        <f t="shared" si="43"/>
        <v/>
      </c>
      <c r="Z894" s="178" t="str">
        <f t="shared" si="44"/>
        <v/>
      </c>
      <c r="AA894" s="44"/>
      <c r="AB894" s="65"/>
    </row>
    <row r="895" spans="1:28" hidden="1">
      <c r="A895" s="751">
        <v>54034</v>
      </c>
      <c r="B895" s="752" t="s">
        <v>35</v>
      </c>
      <c r="C895" s="751" t="s">
        <v>2960</v>
      </c>
      <c r="D895" s="752" t="s">
        <v>20</v>
      </c>
      <c r="E895" s="752" t="s">
        <v>2024</v>
      </c>
      <c r="F895" s="751">
        <v>6838</v>
      </c>
      <c r="G895" s="752" t="s">
        <v>59</v>
      </c>
      <c r="H895" s="752" t="s">
        <v>1244</v>
      </c>
      <c r="I895" s="752" t="s">
        <v>60</v>
      </c>
      <c r="J895" s="751">
        <v>22</v>
      </c>
      <c r="K895" s="751">
        <v>2</v>
      </c>
      <c r="L895" s="752" t="s">
        <v>54</v>
      </c>
      <c r="M895" s="752" t="s">
        <v>40</v>
      </c>
      <c r="N895" s="752" t="s">
        <v>48</v>
      </c>
      <c r="O895" s="752" t="s">
        <v>48</v>
      </c>
      <c r="P895" s="752" t="s">
        <v>49</v>
      </c>
      <c r="Q895" s="753">
        <v>0</v>
      </c>
      <c r="R895" s="753">
        <v>0</v>
      </c>
      <c r="S895" s="753">
        <v>0</v>
      </c>
      <c r="T895" s="753">
        <v>0</v>
      </c>
      <c r="U895" s="753">
        <v>0</v>
      </c>
      <c r="V895" s="751">
        <v>2019</v>
      </c>
      <c r="W895" s="222" t="s">
        <v>2666</v>
      </c>
      <c r="X895" s="186" t="str">
        <f>IF(OR(K895&gt;3,T895=0,NOT(U895&gt;0)),"",T895/U895)</f>
        <v/>
      </c>
      <c r="Y895" s="178" t="str">
        <f t="shared" si="43"/>
        <v/>
      </c>
      <c r="Z895" s="178" t="str">
        <f t="shared" si="44"/>
        <v/>
      </c>
      <c r="AA895" s="44"/>
      <c r="AB895" s="65"/>
    </row>
    <row r="896" spans="1:28" hidden="1">
      <c r="A896" s="751">
        <v>54034</v>
      </c>
      <c r="B896" s="752" t="s">
        <v>35</v>
      </c>
      <c r="C896" s="751" t="s">
        <v>2960</v>
      </c>
      <c r="D896" s="752" t="s">
        <v>20</v>
      </c>
      <c r="E896" s="752" t="s">
        <v>2024</v>
      </c>
      <c r="F896" s="751">
        <v>6838</v>
      </c>
      <c r="G896" s="752" t="s">
        <v>59</v>
      </c>
      <c r="H896" s="752" t="s">
        <v>1244</v>
      </c>
      <c r="I896" s="752" t="s">
        <v>60</v>
      </c>
      <c r="J896" s="751">
        <v>22</v>
      </c>
      <c r="K896" s="751">
        <v>2</v>
      </c>
      <c r="L896" s="752" t="s">
        <v>54</v>
      </c>
      <c r="M896" s="752" t="s">
        <v>40</v>
      </c>
      <c r="N896" s="752" t="s">
        <v>41</v>
      </c>
      <c r="O896" s="752" t="s">
        <v>41</v>
      </c>
      <c r="P896" s="752" t="s">
        <v>1091</v>
      </c>
      <c r="Q896" s="753">
        <v>3915</v>
      </c>
      <c r="R896" s="753">
        <v>3915</v>
      </c>
      <c r="S896" s="753">
        <v>4036</v>
      </c>
      <c r="T896" s="753">
        <v>4036</v>
      </c>
      <c r="U896" s="753">
        <v>1139</v>
      </c>
      <c r="V896" s="751">
        <v>2019</v>
      </c>
      <c r="W896" s="222" t="s">
        <v>2666</v>
      </c>
      <c r="X896" s="186">
        <f>IF(OR(K896&gt;3,T896=0,NOT(U896&gt;0)),"",T896/U896)</f>
        <v>3.5434591747146618</v>
      </c>
      <c r="Y896" s="178" t="str">
        <f t="shared" si="43"/>
        <v/>
      </c>
      <c r="Z896" s="178" t="str">
        <f t="shared" si="44"/>
        <v/>
      </c>
      <c r="AA896" s="44"/>
      <c r="AB896" s="65"/>
    </row>
    <row r="897" spans="1:28" hidden="1">
      <c r="A897" s="751">
        <v>54034</v>
      </c>
      <c r="B897" s="752" t="s">
        <v>35</v>
      </c>
      <c r="C897" s="751" t="s">
        <v>2960</v>
      </c>
      <c r="D897" s="752" t="s">
        <v>20</v>
      </c>
      <c r="E897" s="752" t="s">
        <v>2024</v>
      </c>
      <c r="F897" s="751">
        <v>6838</v>
      </c>
      <c r="G897" s="752" t="s">
        <v>59</v>
      </c>
      <c r="H897" s="752" t="s">
        <v>1244</v>
      </c>
      <c r="I897" s="752" t="s">
        <v>60</v>
      </c>
      <c r="J897" s="751">
        <v>22</v>
      </c>
      <c r="K897" s="751">
        <v>2</v>
      </c>
      <c r="L897" s="752" t="s">
        <v>54</v>
      </c>
      <c r="M897" s="752" t="s">
        <v>43</v>
      </c>
      <c r="N897" s="752" t="s">
        <v>48</v>
      </c>
      <c r="O897" s="752" t="s">
        <v>48</v>
      </c>
      <c r="P897" s="752" t="s">
        <v>49</v>
      </c>
      <c r="Q897" s="753">
        <v>0</v>
      </c>
      <c r="R897" s="753">
        <v>0</v>
      </c>
      <c r="S897" s="753">
        <v>0</v>
      </c>
      <c r="T897" s="753">
        <v>0</v>
      </c>
      <c r="U897" s="753">
        <v>0</v>
      </c>
      <c r="V897" s="751">
        <v>2019</v>
      </c>
      <c r="W897" s="222" t="s">
        <v>2666</v>
      </c>
      <c r="X897" s="186"/>
      <c r="Y897" s="178" t="str">
        <f t="shared" si="43"/>
        <v/>
      </c>
      <c r="Z897" s="178" t="str">
        <f t="shared" si="44"/>
        <v/>
      </c>
      <c r="AA897" s="44"/>
      <c r="AB897" s="65"/>
    </row>
    <row r="898" spans="1:28" hidden="1">
      <c r="A898" s="751">
        <v>54034</v>
      </c>
      <c r="B898" s="752" t="s">
        <v>35</v>
      </c>
      <c r="C898" s="751" t="s">
        <v>2960</v>
      </c>
      <c r="D898" s="752" t="s">
        <v>20</v>
      </c>
      <c r="E898" s="752" t="s">
        <v>2024</v>
      </c>
      <c r="F898" s="751">
        <v>6838</v>
      </c>
      <c r="G898" s="752" t="s">
        <v>59</v>
      </c>
      <c r="H898" s="752" t="s">
        <v>1244</v>
      </c>
      <c r="I898" s="752" t="s">
        <v>60</v>
      </c>
      <c r="J898" s="751">
        <v>22</v>
      </c>
      <c r="K898" s="751">
        <v>2</v>
      </c>
      <c r="L898" s="752" t="s">
        <v>54</v>
      </c>
      <c r="M898" s="752" t="s">
        <v>43</v>
      </c>
      <c r="N898" s="752" t="s">
        <v>41</v>
      </c>
      <c r="O898" s="752" t="s">
        <v>41</v>
      </c>
      <c r="P898" s="752" t="s">
        <v>1091</v>
      </c>
      <c r="Q898" s="753">
        <v>27228</v>
      </c>
      <c r="R898" s="753">
        <v>27228</v>
      </c>
      <c r="S898" s="753">
        <v>28071</v>
      </c>
      <c r="T898" s="753">
        <v>28071</v>
      </c>
      <c r="U898" s="753">
        <v>2339</v>
      </c>
      <c r="V898" s="751">
        <v>2019</v>
      </c>
      <c r="W898" s="222" t="s">
        <v>2666</v>
      </c>
      <c r="X898" s="186">
        <f t="shared" ref="X898:X925" si="46">IF(OR(K898&gt;3,T898=0,NOT(U898&gt;0)),"",T898/U898)</f>
        <v>12.001282599401454</v>
      </c>
      <c r="Y898" s="178" t="str">
        <f t="shared" si="43"/>
        <v/>
      </c>
      <c r="Z898" s="178" t="str">
        <f t="shared" si="44"/>
        <v/>
      </c>
      <c r="AA898" s="44"/>
      <c r="AB898" s="65"/>
    </row>
    <row r="899" spans="1:28" hidden="1">
      <c r="A899" s="751">
        <v>54041</v>
      </c>
      <c r="B899" s="752" t="s">
        <v>56</v>
      </c>
      <c r="C899" s="751" t="s">
        <v>2960</v>
      </c>
      <c r="D899" s="752" t="s">
        <v>21</v>
      </c>
      <c r="E899" s="752" t="s">
        <v>21</v>
      </c>
      <c r="F899" s="751">
        <v>11127</v>
      </c>
      <c r="G899" s="752" t="s">
        <v>59</v>
      </c>
      <c r="H899" s="752" t="s">
        <v>1244</v>
      </c>
      <c r="I899" s="752" t="s">
        <v>60</v>
      </c>
      <c r="J899" s="751">
        <v>22</v>
      </c>
      <c r="K899" s="751">
        <v>3</v>
      </c>
      <c r="L899" s="752" t="s">
        <v>57</v>
      </c>
      <c r="M899" s="752" t="s">
        <v>40</v>
      </c>
      <c r="N899" s="752" t="s">
        <v>48</v>
      </c>
      <c r="O899" s="752" t="s">
        <v>48</v>
      </c>
      <c r="P899" s="752" t="s">
        <v>49</v>
      </c>
      <c r="Q899" s="753">
        <v>0</v>
      </c>
      <c r="R899" s="753">
        <v>0</v>
      </c>
      <c r="S899" s="753">
        <v>0</v>
      </c>
      <c r="T899" s="753">
        <v>0</v>
      </c>
      <c r="U899" s="753">
        <v>0</v>
      </c>
      <c r="V899" s="751">
        <v>2019</v>
      </c>
      <c r="W899" s="222"/>
      <c r="X899" s="186" t="str">
        <f t="shared" si="46"/>
        <v/>
      </c>
      <c r="Y899" s="178" t="str">
        <f t="shared" si="43"/>
        <v/>
      </c>
      <c r="Z899" s="178" t="str">
        <f t="shared" si="44"/>
        <v/>
      </c>
      <c r="AA899" s="44"/>
      <c r="AB899" s="65"/>
    </row>
    <row r="900" spans="1:28" hidden="1">
      <c r="A900" s="751">
        <v>54041</v>
      </c>
      <c r="B900" s="752" t="s">
        <v>56</v>
      </c>
      <c r="C900" s="751" t="s">
        <v>2960</v>
      </c>
      <c r="D900" s="752" t="s">
        <v>21</v>
      </c>
      <c r="E900" s="752" t="s">
        <v>21</v>
      </c>
      <c r="F900" s="751">
        <v>11127</v>
      </c>
      <c r="G900" s="752" t="s">
        <v>59</v>
      </c>
      <c r="H900" s="752" t="s">
        <v>1244</v>
      </c>
      <c r="I900" s="752" t="s">
        <v>60</v>
      </c>
      <c r="J900" s="751">
        <v>22</v>
      </c>
      <c r="K900" s="751">
        <v>3</v>
      </c>
      <c r="L900" s="752" t="s">
        <v>57</v>
      </c>
      <c r="M900" s="752" t="s">
        <v>40</v>
      </c>
      <c r="N900" s="752" t="s">
        <v>41</v>
      </c>
      <c r="O900" s="752" t="s">
        <v>41</v>
      </c>
      <c r="P900" s="752" t="s">
        <v>1091</v>
      </c>
      <c r="Q900" s="753">
        <v>0</v>
      </c>
      <c r="R900" s="753">
        <v>0</v>
      </c>
      <c r="S900" s="753">
        <v>0</v>
      </c>
      <c r="T900" s="753">
        <v>0</v>
      </c>
      <c r="U900" s="753">
        <v>63144.09</v>
      </c>
      <c r="V900" s="751">
        <v>2019</v>
      </c>
      <c r="W900" s="222"/>
      <c r="X900" s="186" t="str">
        <f t="shared" si="46"/>
        <v/>
      </c>
      <c r="Y900" s="178" t="str">
        <f t="shared" si="43"/>
        <v/>
      </c>
      <c r="Z900" s="178" t="str">
        <f t="shared" si="44"/>
        <v/>
      </c>
      <c r="AA900" s="44"/>
      <c r="AB900" s="65"/>
    </row>
    <row r="901" spans="1:28" hidden="1">
      <c r="A901" s="751">
        <v>54041</v>
      </c>
      <c r="B901" s="752" t="s">
        <v>56</v>
      </c>
      <c r="C901" s="751" t="s">
        <v>2960</v>
      </c>
      <c r="D901" s="752" t="s">
        <v>21</v>
      </c>
      <c r="E901" s="752" t="s">
        <v>21</v>
      </c>
      <c r="F901" s="751">
        <v>11127</v>
      </c>
      <c r="G901" s="752" t="s">
        <v>59</v>
      </c>
      <c r="H901" s="752" t="s">
        <v>1244</v>
      </c>
      <c r="I901" s="752" t="s">
        <v>60</v>
      </c>
      <c r="J901" s="751">
        <v>22</v>
      </c>
      <c r="K901" s="751">
        <v>3</v>
      </c>
      <c r="L901" s="752" t="s">
        <v>57</v>
      </c>
      <c r="M901" s="752" t="s">
        <v>43</v>
      </c>
      <c r="N901" s="752" t="s">
        <v>48</v>
      </c>
      <c r="O901" s="752" t="s">
        <v>48</v>
      </c>
      <c r="P901" s="752" t="s">
        <v>49</v>
      </c>
      <c r="Q901" s="753">
        <v>0</v>
      </c>
      <c r="R901" s="753">
        <v>0</v>
      </c>
      <c r="S901" s="753">
        <v>0</v>
      </c>
      <c r="T901" s="753">
        <v>0</v>
      </c>
      <c r="U901" s="753">
        <v>0</v>
      </c>
      <c r="V901" s="751">
        <v>2019</v>
      </c>
      <c r="W901" s="222"/>
      <c r="X901" s="186" t="str">
        <f t="shared" si="46"/>
        <v/>
      </c>
      <c r="Y901" s="178" t="str">
        <f t="shared" si="43"/>
        <v/>
      </c>
      <c r="Z901" s="178" t="str">
        <f t="shared" si="44"/>
        <v/>
      </c>
      <c r="AA901" s="44"/>
      <c r="AB901" s="65"/>
    </row>
    <row r="902" spans="1:28" hidden="1">
      <c r="A902" s="751">
        <v>54041</v>
      </c>
      <c r="B902" s="752" t="s">
        <v>56</v>
      </c>
      <c r="C902" s="751" t="s">
        <v>2960</v>
      </c>
      <c r="D902" s="752" t="s">
        <v>21</v>
      </c>
      <c r="E902" s="752" t="s">
        <v>21</v>
      </c>
      <c r="F902" s="751">
        <v>11127</v>
      </c>
      <c r="G902" s="752" t="s">
        <v>59</v>
      </c>
      <c r="H902" s="752" t="s">
        <v>1244</v>
      </c>
      <c r="I902" s="752" t="s">
        <v>60</v>
      </c>
      <c r="J902" s="751">
        <v>22</v>
      </c>
      <c r="K902" s="751">
        <v>3</v>
      </c>
      <c r="L902" s="752" t="s">
        <v>57</v>
      </c>
      <c r="M902" s="752" t="s">
        <v>43</v>
      </c>
      <c r="N902" s="752" t="s">
        <v>41</v>
      </c>
      <c r="O902" s="752" t="s">
        <v>41</v>
      </c>
      <c r="P902" s="752" t="s">
        <v>1091</v>
      </c>
      <c r="Q902" s="753">
        <v>1875364</v>
      </c>
      <c r="R902" s="753">
        <v>1875364</v>
      </c>
      <c r="S902" s="753">
        <v>1935376</v>
      </c>
      <c r="T902" s="753">
        <v>1935376</v>
      </c>
      <c r="U902" s="753">
        <v>144375.76999999999</v>
      </c>
      <c r="V902" s="751">
        <v>2019</v>
      </c>
      <c r="W902" s="222"/>
      <c r="X902" s="186">
        <f t="shared" si="46"/>
        <v>13.405130237573799</v>
      </c>
      <c r="Y902" s="86" t="str">
        <f t="shared" si="43"/>
        <v/>
      </c>
      <c r="Z902" s="86" t="str">
        <f t="shared" si="44"/>
        <v/>
      </c>
      <c r="AA902" s="44"/>
      <c r="AB902" s="65"/>
    </row>
    <row r="903" spans="1:28" hidden="1">
      <c r="A903" s="751">
        <v>54056</v>
      </c>
      <c r="B903" s="752" t="s">
        <v>35</v>
      </c>
      <c r="C903" s="751" t="s">
        <v>2960</v>
      </c>
      <c r="D903" s="752" t="s">
        <v>990</v>
      </c>
      <c r="E903" s="752" t="s">
        <v>991</v>
      </c>
      <c r="F903" s="751">
        <v>14584</v>
      </c>
      <c r="G903" s="752" t="s">
        <v>136</v>
      </c>
      <c r="H903" s="752" t="s">
        <v>1245</v>
      </c>
      <c r="I903" s="752" t="s">
        <v>60</v>
      </c>
      <c r="J903" s="751">
        <v>22</v>
      </c>
      <c r="K903" s="751">
        <v>2</v>
      </c>
      <c r="L903" s="752" t="s">
        <v>54</v>
      </c>
      <c r="M903" s="752" t="s">
        <v>40</v>
      </c>
      <c r="N903" s="752" t="s">
        <v>48</v>
      </c>
      <c r="O903" s="752" t="s">
        <v>48</v>
      </c>
      <c r="P903" s="752" t="s">
        <v>49</v>
      </c>
      <c r="Q903" s="753">
        <v>0</v>
      </c>
      <c r="R903" s="753">
        <v>0</v>
      </c>
      <c r="S903" s="753">
        <v>0</v>
      </c>
      <c r="T903" s="753">
        <v>0</v>
      </c>
      <c r="U903" s="753">
        <v>37.784999999999997</v>
      </c>
      <c r="V903" s="751">
        <v>2019</v>
      </c>
      <c r="W903" s="222" t="s">
        <v>2666</v>
      </c>
      <c r="X903" s="186" t="str">
        <f t="shared" si="46"/>
        <v/>
      </c>
      <c r="Y903" s="86" t="str">
        <f t="shared" ref="Y903:Y966" si="47">IF(AND($M903=$Y$2,$N903=$Y$3,NOT($Q903=$R903),NOT($U903=0)),IF($K903=5,$S903/($U903+(8/5)*$U903),IF($K903=7,$S903/($U903+(29/25)*$U903),"")),"")</f>
        <v/>
      </c>
      <c r="Z903" s="86" t="str">
        <f t="shared" ref="Z903:Z966" si="48">IF(AND($M903=$Y$2,$N903=$Y$4,NOT($Q903=$R903),NOT($U903=0)),IF($K903=5,$S903/($U903+(8/5)*$U903),IF($K903=7,$S903/($U903+(29/25)*$U903),"")),"")</f>
        <v/>
      </c>
      <c r="AA903" s="44"/>
      <c r="AB903" s="65"/>
    </row>
    <row r="904" spans="1:28" hidden="1">
      <c r="A904" s="751">
        <v>54056</v>
      </c>
      <c r="B904" s="752" t="s">
        <v>35</v>
      </c>
      <c r="C904" s="751" t="s">
        <v>2960</v>
      </c>
      <c r="D904" s="752" t="s">
        <v>990</v>
      </c>
      <c r="E904" s="752" t="s">
        <v>991</v>
      </c>
      <c r="F904" s="751">
        <v>14584</v>
      </c>
      <c r="G904" s="752" t="s">
        <v>136</v>
      </c>
      <c r="H904" s="752" t="s">
        <v>1245</v>
      </c>
      <c r="I904" s="752" t="s">
        <v>60</v>
      </c>
      <c r="J904" s="751">
        <v>22</v>
      </c>
      <c r="K904" s="751">
        <v>2</v>
      </c>
      <c r="L904" s="752" t="s">
        <v>54</v>
      </c>
      <c r="M904" s="752" t="s">
        <v>40</v>
      </c>
      <c r="N904" s="752" t="s">
        <v>41</v>
      </c>
      <c r="O904" s="752" t="s">
        <v>41</v>
      </c>
      <c r="P904" s="752" t="s">
        <v>1091</v>
      </c>
      <c r="Q904" s="753">
        <v>29</v>
      </c>
      <c r="R904" s="753">
        <v>29</v>
      </c>
      <c r="S904" s="753">
        <v>29</v>
      </c>
      <c r="T904" s="753">
        <v>29</v>
      </c>
      <c r="U904" s="753">
        <v>1516.2149999999999</v>
      </c>
      <c r="V904" s="751">
        <v>2019</v>
      </c>
      <c r="W904" s="222" t="s">
        <v>2666</v>
      </c>
      <c r="X904" s="186">
        <f t="shared" si="46"/>
        <v>1.9126575056967514E-2</v>
      </c>
      <c r="Y904" s="86" t="str">
        <f t="shared" si="47"/>
        <v/>
      </c>
      <c r="Z904" s="86" t="str">
        <f t="shared" si="48"/>
        <v/>
      </c>
      <c r="AA904" s="44"/>
      <c r="AB904" s="65"/>
    </row>
    <row r="905" spans="1:28" hidden="1">
      <c r="A905" s="751">
        <v>54056</v>
      </c>
      <c r="B905" s="752" t="s">
        <v>35</v>
      </c>
      <c r="C905" s="751" t="s">
        <v>2960</v>
      </c>
      <c r="D905" s="752" t="s">
        <v>990</v>
      </c>
      <c r="E905" s="752" t="s">
        <v>991</v>
      </c>
      <c r="F905" s="751">
        <v>14584</v>
      </c>
      <c r="G905" s="752" t="s">
        <v>136</v>
      </c>
      <c r="H905" s="752" t="s">
        <v>1245</v>
      </c>
      <c r="I905" s="752" t="s">
        <v>60</v>
      </c>
      <c r="J905" s="751">
        <v>22</v>
      </c>
      <c r="K905" s="751">
        <v>2</v>
      </c>
      <c r="L905" s="752" t="s">
        <v>54</v>
      </c>
      <c r="M905" s="752" t="s">
        <v>43</v>
      </c>
      <c r="N905" s="752" t="s">
        <v>48</v>
      </c>
      <c r="O905" s="752" t="s">
        <v>48</v>
      </c>
      <c r="P905" s="752" t="s">
        <v>49</v>
      </c>
      <c r="Q905" s="753">
        <v>131</v>
      </c>
      <c r="R905" s="753">
        <v>131</v>
      </c>
      <c r="S905" s="753">
        <v>760</v>
      </c>
      <c r="T905" s="753">
        <v>760</v>
      </c>
      <c r="U905" s="753">
        <v>73.016000000000005</v>
      </c>
      <c r="V905" s="751">
        <v>2019</v>
      </c>
      <c r="W905" s="222" t="s">
        <v>2666</v>
      </c>
      <c r="X905" s="186">
        <f t="shared" si="46"/>
        <v>10.408677550125999</v>
      </c>
      <c r="Y905" s="86" t="str">
        <f t="shared" si="47"/>
        <v/>
      </c>
      <c r="Z905" s="86" t="str">
        <f t="shared" si="48"/>
        <v/>
      </c>
      <c r="AA905" s="44"/>
      <c r="AB905" s="65"/>
    </row>
    <row r="906" spans="1:28" hidden="1">
      <c r="A906" s="751">
        <v>54056</v>
      </c>
      <c r="B906" s="752" t="s">
        <v>35</v>
      </c>
      <c r="C906" s="751" t="s">
        <v>2960</v>
      </c>
      <c r="D906" s="752" t="s">
        <v>990</v>
      </c>
      <c r="E906" s="752" t="s">
        <v>991</v>
      </c>
      <c r="F906" s="751">
        <v>14584</v>
      </c>
      <c r="G906" s="752" t="s">
        <v>136</v>
      </c>
      <c r="H906" s="752" t="s">
        <v>1245</v>
      </c>
      <c r="I906" s="752" t="s">
        <v>60</v>
      </c>
      <c r="J906" s="751">
        <v>22</v>
      </c>
      <c r="K906" s="751">
        <v>2</v>
      </c>
      <c r="L906" s="752" t="s">
        <v>54</v>
      </c>
      <c r="M906" s="752" t="s">
        <v>43</v>
      </c>
      <c r="N906" s="752" t="s">
        <v>41</v>
      </c>
      <c r="O906" s="752" t="s">
        <v>41</v>
      </c>
      <c r="P906" s="752" t="s">
        <v>1091</v>
      </c>
      <c r="Q906" s="753">
        <v>42508</v>
      </c>
      <c r="R906" s="753">
        <v>42508</v>
      </c>
      <c r="S906" s="753">
        <v>43613</v>
      </c>
      <c r="T906" s="753">
        <v>43613</v>
      </c>
      <c r="U906" s="753">
        <v>2940.9839999999999</v>
      </c>
      <c r="V906" s="751">
        <v>2019</v>
      </c>
      <c r="W906" s="222" t="s">
        <v>2666</v>
      </c>
      <c r="X906" s="186">
        <f t="shared" si="46"/>
        <v>14.829390435310087</v>
      </c>
      <c r="Y906" s="86" t="str">
        <f t="shared" si="47"/>
        <v/>
      </c>
      <c r="Z906" s="86" t="str">
        <f t="shared" si="48"/>
        <v/>
      </c>
      <c r="AA906" s="44"/>
      <c r="AB906" s="65"/>
    </row>
    <row r="907" spans="1:28" hidden="1">
      <c r="A907" s="751">
        <v>54076</v>
      </c>
      <c r="B907" s="752" t="s">
        <v>56</v>
      </c>
      <c r="C907" s="751" t="s">
        <v>2960</v>
      </c>
      <c r="D907" s="752" t="s">
        <v>992</v>
      </c>
      <c r="E907" s="752" t="s">
        <v>993</v>
      </c>
      <c r="F907" s="751">
        <v>9261</v>
      </c>
      <c r="G907" s="752" t="s">
        <v>59</v>
      </c>
      <c r="H907" s="752" t="s">
        <v>1244</v>
      </c>
      <c r="I907" s="752" t="s">
        <v>60</v>
      </c>
      <c r="J907" s="751">
        <v>22</v>
      </c>
      <c r="K907" s="751">
        <v>3</v>
      </c>
      <c r="L907" s="752" t="s">
        <v>57</v>
      </c>
      <c r="M907" s="752" t="s">
        <v>40</v>
      </c>
      <c r="N907" s="752" t="s">
        <v>48</v>
      </c>
      <c r="O907" s="752" t="s">
        <v>48</v>
      </c>
      <c r="P907" s="752" t="s">
        <v>49</v>
      </c>
      <c r="Q907" s="753">
        <v>0</v>
      </c>
      <c r="R907" s="753">
        <v>0</v>
      </c>
      <c r="S907" s="753">
        <v>0</v>
      </c>
      <c r="T907" s="753">
        <v>0</v>
      </c>
      <c r="U907" s="753">
        <v>47.042000000000002</v>
      </c>
      <c r="V907" s="751">
        <v>2019</v>
      </c>
      <c r="W907" s="222"/>
      <c r="X907" s="186" t="str">
        <f t="shared" si="46"/>
        <v/>
      </c>
      <c r="Y907" s="178" t="str">
        <f t="shared" si="47"/>
        <v/>
      </c>
      <c r="Z907" s="178" t="str">
        <f t="shared" si="48"/>
        <v/>
      </c>
      <c r="AA907" s="44"/>
      <c r="AB907" s="65"/>
    </row>
    <row r="908" spans="1:28" hidden="1">
      <c r="A908" s="751">
        <v>54076</v>
      </c>
      <c r="B908" s="752" t="s">
        <v>56</v>
      </c>
      <c r="C908" s="751" t="s">
        <v>2960</v>
      </c>
      <c r="D908" s="752" t="s">
        <v>992</v>
      </c>
      <c r="E908" s="752" t="s">
        <v>993</v>
      </c>
      <c r="F908" s="751">
        <v>9261</v>
      </c>
      <c r="G908" s="752" t="s">
        <v>59</v>
      </c>
      <c r="H908" s="752" t="s">
        <v>1244</v>
      </c>
      <c r="I908" s="752" t="s">
        <v>60</v>
      </c>
      <c r="J908" s="751">
        <v>22</v>
      </c>
      <c r="K908" s="751">
        <v>3</v>
      </c>
      <c r="L908" s="752" t="s">
        <v>57</v>
      </c>
      <c r="M908" s="752" t="s">
        <v>40</v>
      </c>
      <c r="N908" s="752" t="s">
        <v>41</v>
      </c>
      <c r="O908" s="752" t="s">
        <v>41</v>
      </c>
      <c r="P908" s="752" t="s">
        <v>1091</v>
      </c>
      <c r="Q908" s="753">
        <v>239878</v>
      </c>
      <c r="R908" s="753">
        <v>239878</v>
      </c>
      <c r="S908" s="753">
        <v>254554</v>
      </c>
      <c r="T908" s="753">
        <v>254554</v>
      </c>
      <c r="U908" s="753">
        <v>52267.957999999999</v>
      </c>
      <c r="V908" s="751">
        <v>2019</v>
      </c>
      <c r="W908" s="222"/>
      <c r="X908" s="186">
        <f t="shared" si="46"/>
        <v>4.8701730417706388</v>
      </c>
      <c r="Y908" s="86" t="str">
        <f t="shared" si="47"/>
        <v/>
      </c>
      <c r="Z908" s="86" t="str">
        <f t="shared" si="48"/>
        <v/>
      </c>
      <c r="AA908" s="44"/>
      <c r="AB908" s="65"/>
    </row>
    <row r="909" spans="1:28" hidden="1">
      <c r="A909" s="751">
        <v>54076</v>
      </c>
      <c r="B909" s="752" t="s">
        <v>56</v>
      </c>
      <c r="C909" s="751" t="s">
        <v>2960</v>
      </c>
      <c r="D909" s="752" t="s">
        <v>992</v>
      </c>
      <c r="E909" s="752" t="s">
        <v>993</v>
      </c>
      <c r="F909" s="751">
        <v>9261</v>
      </c>
      <c r="G909" s="752" t="s">
        <v>59</v>
      </c>
      <c r="H909" s="752" t="s">
        <v>1244</v>
      </c>
      <c r="I909" s="752" t="s">
        <v>60</v>
      </c>
      <c r="J909" s="751">
        <v>22</v>
      </c>
      <c r="K909" s="751">
        <v>3</v>
      </c>
      <c r="L909" s="752" t="s">
        <v>57</v>
      </c>
      <c r="M909" s="752" t="s">
        <v>43</v>
      </c>
      <c r="N909" s="752" t="s">
        <v>48</v>
      </c>
      <c r="O909" s="752" t="s">
        <v>48</v>
      </c>
      <c r="P909" s="752" t="s">
        <v>49</v>
      </c>
      <c r="Q909" s="753">
        <v>197</v>
      </c>
      <c r="R909" s="753">
        <v>197</v>
      </c>
      <c r="S909" s="753">
        <v>929</v>
      </c>
      <c r="T909" s="753">
        <v>929</v>
      </c>
      <c r="U909" s="753">
        <v>79.492999999999995</v>
      </c>
      <c r="V909" s="751">
        <v>2019</v>
      </c>
      <c r="W909" s="222"/>
      <c r="X909" s="186">
        <f t="shared" si="46"/>
        <v>11.686563596794688</v>
      </c>
      <c r="Y909" s="86" t="str">
        <f t="shared" si="47"/>
        <v/>
      </c>
      <c r="Z909" s="86" t="str">
        <f t="shared" si="48"/>
        <v/>
      </c>
      <c r="AA909" s="44"/>
      <c r="AB909" s="65"/>
    </row>
    <row r="910" spans="1:28" hidden="1">
      <c r="A910" s="751">
        <v>54076</v>
      </c>
      <c r="B910" s="752" t="s">
        <v>56</v>
      </c>
      <c r="C910" s="751" t="s">
        <v>2960</v>
      </c>
      <c r="D910" s="752" t="s">
        <v>992</v>
      </c>
      <c r="E910" s="752" t="s">
        <v>993</v>
      </c>
      <c r="F910" s="751">
        <v>9261</v>
      </c>
      <c r="G910" s="752" t="s">
        <v>59</v>
      </c>
      <c r="H910" s="752" t="s">
        <v>1244</v>
      </c>
      <c r="I910" s="752" t="s">
        <v>60</v>
      </c>
      <c r="J910" s="751">
        <v>22</v>
      </c>
      <c r="K910" s="751">
        <v>3</v>
      </c>
      <c r="L910" s="752" t="s">
        <v>57</v>
      </c>
      <c r="M910" s="752" t="s">
        <v>43</v>
      </c>
      <c r="N910" s="752" t="s">
        <v>41</v>
      </c>
      <c r="O910" s="752" t="s">
        <v>41</v>
      </c>
      <c r="P910" s="752" t="s">
        <v>1091</v>
      </c>
      <c r="Q910" s="753">
        <v>754008</v>
      </c>
      <c r="R910" s="753">
        <v>748359</v>
      </c>
      <c r="S910" s="753">
        <v>799841</v>
      </c>
      <c r="T910" s="753">
        <v>793761</v>
      </c>
      <c r="U910" s="753">
        <v>64193.506999999998</v>
      </c>
      <c r="V910" s="751">
        <v>2019</v>
      </c>
      <c r="W910" s="222"/>
      <c r="X910" s="186">
        <f t="shared" si="46"/>
        <v>12.365129077618395</v>
      </c>
      <c r="Y910" s="86" t="str">
        <f t="shared" si="47"/>
        <v/>
      </c>
      <c r="Z910" s="86" t="str">
        <f t="shared" si="48"/>
        <v/>
      </c>
      <c r="AA910" s="44"/>
      <c r="AB910" s="65"/>
    </row>
    <row r="911" spans="1:28" ht="25" hidden="1">
      <c r="A911" s="751">
        <v>54085</v>
      </c>
      <c r="B911" s="752" t="s">
        <v>56</v>
      </c>
      <c r="C911" s="751" t="s">
        <v>2960</v>
      </c>
      <c r="D911" s="752" t="s">
        <v>441</v>
      </c>
      <c r="E911" s="752" t="s">
        <v>430</v>
      </c>
      <c r="F911" s="751">
        <v>55738</v>
      </c>
      <c r="G911" s="752" t="s">
        <v>92</v>
      </c>
      <c r="H911" s="752" t="s">
        <v>1245</v>
      </c>
      <c r="I911" s="752" t="s">
        <v>60</v>
      </c>
      <c r="J911" s="751">
        <v>322</v>
      </c>
      <c r="K911" s="751">
        <v>7</v>
      </c>
      <c r="L911" s="752" t="s">
        <v>419</v>
      </c>
      <c r="M911" s="752" t="s">
        <v>44</v>
      </c>
      <c r="N911" s="752" t="s">
        <v>159</v>
      </c>
      <c r="O911" s="752" t="s">
        <v>72</v>
      </c>
      <c r="P911" s="752" t="s">
        <v>47</v>
      </c>
      <c r="Q911" s="753">
        <v>771747</v>
      </c>
      <c r="R911" s="753">
        <v>136116</v>
      </c>
      <c r="S911" s="753">
        <v>8489217</v>
      </c>
      <c r="T911" s="753">
        <v>1497289</v>
      </c>
      <c r="U911" s="753">
        <v>298404.5</v>
      </c>
      <c r="V911" s="751">
        <v>2019</v>
      </c>
      <c r="W911" s="222"/>
      <c r="X911" s="186" t="str">
        <f t="shared" si="46"/>
        <v/>
      </c>
      <c r="Y911" s="86" t="str">
        <f t="shared" si="47"/>
        <v/>
      </c>
      <c r="Z911" s="86" t="str">
        <f t="shared" si="48"/>
        <v/>
      </c>
      <c r="AA911" s="44"/>
      <c r="AB911" s="65"/>
    </row>
    <row r="912" spans="1:28" hidden="1">
      <c r="A912" s="751">
        <v>54085</v>
      </c>
      <c r="B912" s="752" t="s">
        <v>56</v>
      </c>
      <c r="C912" s="751" t="s">
        <v>2960</v>
      </c>
      <c r="D912" s="752" t="s">
        <v>441</v>
      </c>
      <c r="E912" s="752" t="s">
        <v>430</v>
      </c>
      <c r="F912" s="751">
        <v>55738</v>
      </c>
      <c r="G912" s="752" t="s">
        <v>92</v>
      </c>
      <c r="H912" s="752" t="s">
        <v>1245</v>
      </c>
      <c r="I912" s="752" t="s">
        <v>60</v>
      </c>
      <c r="J912" s="751">
        <v>322</v>
      </c>
      <c r="K912" s="751">
        <v>7</v>
      </c>
      <c r="L912" s="752" t="s">
        <v>419</v>
      </c>
      <c r="M912" s="752" t="s">
        <v>44</v>
      </c>
      <c r="N912" s="752" t="s">
        <v>78</v>
      </c>
      <c r="O912" s="752" t="s">
        <v>69</v>
      </c>
      <c r="P912" s="752" t="s">
        <v>49</v>
      </c>
      <c r="Q912" s="753">
        <v>0</v>
      </c>
      <c r="R912" s="753">
        <v>0</v>
      </c>
      <c r="S912" s="753">
        <v>0</v>
      </c>
      <c r="T912" s="753">
        <v>0</v>
      </c>
      <c r="U912" s="753">
        <v>0</v>
      </c>
      <c r="V912" s="751">
        <v>2019</v>
      </c>
      <c r="W912" s="222"/>
      <c r="X912" s="186" t="str">
        <f t="shared" si="46"/>
        <v/>
      </c>
      <c r="Y912" s="86" t="str">
        <f t="shared" si="47"/>
        <v/>
      </c>
      <c r="Z912" s="86" t="str">
        <f t="shared" si="48"/>
        <v/>
      </c>
      <c r="AA912" s="44"/>
      <c r="AB912" s="65"/>
    </row>
    <row r="913" spans="1:28" hidden="1">
      <c r="A913" s="751">
        <v>54085</v>
      </c>
      <c r="B913" s="752" t="s">
        <v>56</v>
      </c>
      <c r="C913" s="751" t="s">
        <v>2960</v>
      </c>
      <c r="D913" s="752" t="s">
        <v>441</v>
      </c>
      <c r="E913" s="752" t="s">
        <v>430</v>
      </c>
      <c r="F913" s="751">
        <v>55738</v>
      </c>
      <c r="G913" s="752" t="s">
        <v>92</v>
      </c>
      <c r="H913" s="752" t="s">
        <v>1245</v>
      </c>
      <c r="I913" s="752" t="s">
        <v>60</v>
      </c>
      <c r="J913" s="751">
        <v>322</v>
      </c>
      <c r="K913" s="751">
        <v>7</v>
      </c>
      <c r="L913" s="752" t="s">
        <v>419</v>
      </c>
      <c r="M913" s="752" t="s">
        <v>44</v>
      </c>
      <c r="N913" s="752" t="s">
        <v>41</v>
      </c>
      <c r="O913" s="752" t="s">
        <v>41</v>
      </c>
      <c r="P913" s="752" t="s">
        <v>1091</v>
      </c>
      <c r="Q913" s="753">
        <v>507056</v>
      </c>
      <c r="R913" s="753">
        <v>89581</v>
      </c>
      <c r="S913" s="753">
        <v>507056</v>
      </c>
      <c r="T913" s="753">
        <v>89581</v>
      </c>
      <c r="U913" s="753">
        <v>17853.349999999999</v>
      </c>
      <c r="V913" s="751">
        <v>2019</v>
      </c>
      <c r="W913" s="222"/>
      <c r="X913" s="186" t="str">
        <f t="shared" si="46"/>
        <v/>
      </c>
      <c r="Y913" s="86" t="str">
        <f t="shared" si="47"/>
        <v/>
      </c>
      <c r="Z913" s="86" t="str">
        <f t="shared" si="48"/>
        <v/>
      </c>
      <c r="AA913" s="44"/>
      <c r="AB913" s="65"/>
    </row>
    <row r="914" spans="1:28" hidden="1">
      <c r="A914" s="751">
        <v>54085</v>
      </c>
      <c r="B914" s="752" t="s">
        <v>56</v>
      </c>
      <c r="C914" s="751" t="s">
        <v>2960</v>
      </c>
      <c r="D914" s="752" t="s">
        <v>441</v>
      </c>
      <c r="E914" s="752" t="s">
        <v>430</v>
      </c>
      <c r="F914" s="751">
        <v>55738</v>
      </c>
      <c r="G914" s="752" t="s">
        <v>92</v>
      </c>
      <c r="H914" s="752" t="s">
        <v>1245</v>
      </c>
      <c r="I914" s="752" t="s">
        <v>60</v>
      </c>
      <c r="J914" s="751">
        <v>322</v>
      </c>
      <c r="K914" s="751">
        <v>7</v>
      </c>
      <c r="L914" s="752" t="s">
        <v>419</v>
      </c>
      <c r="M914" s="752" t="s">
        <v>44</v>
      </c>
      <c r="N914" s="752" t="s">
        <v>63</v>
      </c>
      <c r="O914" s="752" t="s">
        <v>63</v>
      </c>
      <c r="P914" s="752" t="s">
        <v>49</v>
      </c>
      <c r="Q914" s="753">
        <v>0</v>
      </c>
      <c r="R914" s="753">
        <v>0</v>
      </c>
      <c r="S914" s="753">
        <v>0</v>
      </c>
      <c r="T914" s="753">
        <v>0</v>
      </c>
      <c r="U914" s="753">
        <v>0</v>
      </c>
      <c r="V914" s="751">
        <v>2019</v>
      </c>
      <c r="W914" s="222"/>
      <c r="X914" s="186" t="str">
        <f t="shared" si="46"/>
        <v/>
      </c>
      <c r="Y914" s="178" t="str">
        <f t="shared" si="47"/>
        <v/>
      </c>
      <c r="Z914" s="178" t="str">
        <f t="shared" si="48"/>
        <v/>
      </c>
      <c r="AA914" s="44"/>
      <c r="AB914" s="65"/>
    </row>
    <row r="915" spans="1:28" ht="25" hidden="1">
      <c r="A915" s="751">
        <v>54085</v>
      </c>
      <c r="B915" s="752" t="s">
        <v>56</v>
      </c>
      <c r="C915" s="751" t="s">
        <v>2960</v>
      </c>
      <c r="D915" s="752" t="s">
        <v>441</v>
      </c>
      <c r="E915" s="752" t="s">
        <v>430</v>
      </c>
      <c r="F915" s="751">
        <v>55738</v>
      </c>
      <c r="G915" s="752" t="s">
        <v>92</v>
      </c>
      <c r="H915" s="752" t="s">
        <v>1245</v>
      </c>
      <c r="I915" s="752" t="s">
        <v>60</v>
      </c>
      <c r="J915" s="751">
        <v>322</v>
      </c>
      <c r="K915" s="751">
        <v>7</v>
      </c>
      <c r="L915" s="752" t="s">
        <v>419</v>
      </c>
      <c r="M915" s="752" t="s">
        <v>44</v>
      </c>
      <c r="N915" s="752" t="s">
        <v>71</v>
      </c>
      <c r="O915" s="752" t="s">
        <v>72</v>
      </c>
      <c r="P915" s="752" t="s">
        <v>47</v>
      </c>
      <c r="Q915" s="753">
        <v>125846</v>
      </c>
      <c r="R915" s="753">
        <v>22267</v>
      </c>
      <c r="S915" s="753">
        <v>2013536</v>
      </c>
      <c r="T915" s="753">
        <v>356228</v>
      </c>
      <c r="U915" s="753">
        <v>70995.149999999994</v>
      </c>
      <c r="V915" s="751">
        <v>2019</v>
      </c>
      <c r="W915" s="222"/>
      <c r="X915" s="186" t="str">
        <f t="shared" si="46"/>
        <v/>
      </c>
      <c r="Y915" s="178" t="str">
        <f t="shared" si="47"/>
        <v/>
      </c>
      <c r="Z915" s="178" t="str">
        <f t="shared" si="48"/>
        <v/>
      </c>
      <c r="AA915" s="44"/>
      <c r="AB915" s="65"/>
    </row>
    <row r="916" spans="1:28" ht="25" hidden="1">
      <c r="A916" s="751">
        <v>54099</v>
      </c>
      <c r="B916" s="752" t="s">
        <v>56</v>
      </c>
      <c r="C916" s="751" t="s">
        <v>2960</v>
      </c>
      <c r="D916" s="752" t="s">
        <v>442</v>
      </c>
      <c r="E916" s="752" t="s">
        <v>443</v>
      </c>
      <c r="F916" s="751">
        <v>9350</v>
      </c>
      <c r="G916" s="752" t="s">
        <v>59</v>
      </c>
      <c r="H916" s="752" t="s">
        <v>1244</v>
      </c>
      <c r="I916" s="752" t="s">
        <v>60</v>
      </c>
      <c r="J916" s="751">
        <v>322122</v>
      </c>
      <c r="K916" s="751">
        <v>7</v>
      </c>
      <c r="L916" s="752" t="s">
        <v>419</v>
      </c>
      <c r="M916" s="752" t="s">
        <v>44</v>
      </c>
      <c r="N916" s="752" t="s">
        <v>159</v>
      </c>
      <c r="O916" s="752" t="s">
        <v>72</v>
      </c>
      <c r="P916" s="752" t="s">
        <v>47</v>
      </c>
      <c r="Q916" s="753">
        <v>193795</v>
      </c>
      <c r="R916" s="753">
        <v>49071</v>
      </c>
      <c r="S916" s="753">
        <v>1640827</v>
      </c>
      <c r="T916" s="753">
        <v>415473</v>
      </c>
      <c r="U916" s="753">
        <v>72592.585000000006</v>
      </c>
      <c r="V916" s="751">
        <v>2019</v>
      </c>
      <c r="W916" s="222"/>
      <c r="X916" s="186" t="str">
        <f t="shared" si="46"/>
        <v/>
      </c>
      <c r="Y916" s="178" t="str">
        <f t="shared" si="47"/>
        <v/>
      </c>
      <c r="Z916" s="178" t="str">
        <f t="shared" si="48"/>
        <v/>
      </c>
      <c r="AA916" s="44"/>
      <c r="AB916" s="65"/>
    </row>
    <row r="917" spans="1:28" hidden="1">
      <c r="A917" s="751">
        <v>54099</v>
      </c>
      <c r="B917" s="752" t="s">
        <v>56</v>
      </c>
      <c r="C917" s="751" t="s">
        <v>2960</v>
      </c>
      <c r="D917" s="752" t="s">
        <v>442</v>
      </c>
      <c r="E917" s="752" t="s">
        <v>443</v>
      </c>
      <c r="F917" s="751">
        <v>9350</v>
      </c>
      <c r="G917" s="752" t="s">
        <v>59</v>
      </c>
      <c r="H917" s="752" t="s">
        <v>1244</v>
      </c>
      <c r="I917" s="752" t="s">
        <v>60</v>
      </c>
      <c r="J917" s="751">
        <v>322122</v>
      </c>
      <c r="K917" s="751">
        <v>7</v>
      </c>
      <c r="L917" s="752" t="s">
        <v>419</v>
      </c>
      <c r="M917" s="752" t="s">
        <v>44</v>
      </c>
      <c r="N917" s="752" t="s">
        <v>41</v>
      </c>
      <c r="O917" s="752" t="s">
        <v>41</v>
      </c>
      <c r="P917" s="752" t="s">
        <v>1091</v>
      </c>
      <c r="Q917" s="753">
        <v>1938068</v>
      </c>
      <c r="R917" s="753">
        <v>506524</v>
      </c>
      <c r="S917" s="753">
        <v>1938068</v>
      </c>
      <c r="T917" s="753">
        <v>506524</v>
      </c>
      <c r="U917" s="753">
        <v>88501.341</v>
      </c>
      <c r="V917" s="751">
        <v>2019</v>
      </c>
      <c r="W917" s="222"/>
      <c r="X917" s="186" t="str">
        <f t="shared" si="46"/>
        <v/>
      </c>
      <c r="Y917" s="178" t="str">
        <f t="shared" si="47"/>
        <v/>
      </c>
      <c r="Z917" s="178" t="str">
        <f t="shared" si="48"/>
        <v/>
      </c>
      <c r="AA917" s="44"/>
      <c r="AB917" s="65"/>
    </row>
    <row r="918" spans="1:28" hidden="1">
      <c r="A918" s="751">
        <v>54099</v>
      </c>
      <c r="B918" s="752" t="s">
        <v>56</v>
      </c>
      <c r="C918" s="751" t="s">
        <v>2960</v>
      </c>
      <c r="D918" s="752" t="s">
        <v>442</v>
      </c>
      <c r="E918" s="752" t="s">
        <v>443</v>
      </c>
      <c r="F918" s="751">
        <v>9350</v>
      </c>
      <c r="G918" s="752" t="s">
        <v>59</v>
      </c>
      <c r="H918" s="752" t="s">
        <v>1244</v>
      </c>
      <c r="I918" s="752" t="s">
        <v>60</v>
      </c>
      <c r="J918" s="751">
        <v>322122</v>
      </c>
      <c r="K918" s="751">
        <v>7</v>
      </c>
      <c r="L918" s="752" t="s">
        <v>419</v>
      </c>
      <c r="M918" s="752" t="s">
        <v>44</v>
      </c>
      <c r="N918" s="752" t="s">
        <v>1772</v>
      </c>
      <c r="O918" s="752" t="s">
        <v>440</v>
      </c>
      <c r="P918" s="752" t="s">
        <v>1091</v>
      </c>
      <c r="Q918" s="753">
        <v>96073</v>
      </c>
      <c r="R918" s="753">
        <v>9618</v>
      </c>
      <c r="S918" s="753">
        <v>96073</v>
      </c>
      <c r="T918" s="753">
        <v>9618</v>
      </c>
      <c r="U918" s="753">
        <v>1680.4590000000001</v>
      </c>
      <c r="V918" s="751">
        <v>2019</v>
      </c>
      <c r="W918" s="222"/>
      <c r="X918" s="186" t="str">
        <f t="shared" si="46"/>
        <v/>
      </c>
      <c r="Y918" s="178" t="str">
        <f t="shared" si="47"/>
        <v/>
      </c>
      <c r="Z918" s="178" t="str">
        <f t="shared" si="48"/>
        <v/>
      </c>
      <c r="AA918" s="44"/>
      <c r="AB918" s="65"/>
    </row>
    <row r="919" spans="1:28" hidden="1">
      <c r="A919" s="751">
        <v>54099</v>
      </c>
      <c r="B919" s="752" t="s">
        <v>56</v>
      </c>
      <c r="C919" s="751" t="s">
        <v>2960</v>
      </c>
      <c r="D919" s="752" t="s">
        <v>442</v>
      </c>
      <c r="E919" s="752" t="s">
        <v>443</v>
      </c>
      <c r="F919" s="751">
        <v>9350</v>
      </c>
      <c r="G919" s="752" t="s">
        <v>59</v>
      </c>
      <c r="H919" s="752" t="s">
        <v>1244</v>
      </c>
      <c r="I919" s="752" t="s">
        <v>60</v>
      </c>
      <c r="J919" s="751">
        <v>322122</v>
      </c>
      <c r="K919" s="751">
        <v>7</v>
      </c>
      <c r="L919" s="752" t="s">
        <v>419</v>
      </c>
      <c r="M919" s="752" t="s">
        <v>44</v>
      </c>
      <c r="N919" s="752" t="s">
        <v>439</v>
      </c>
      <c r="O919" s="752" t="s">
        <v>69</v>
      </c>
      <c r="P919" s="752" t="s">
        <v>1091</v>
      </c>
      <c r="Q919" s="753">
        <v>0</v>
      </c>
      <c r="R919" s="753">
        <v>0</v>
      </c>
      <c r="S919" s="753">
        <v>0</v>
      </c>
      <c r="T919" s="753">
        <v>0</v>
      </c>
      <c r="U919" s="753">
        <v>0</v>
      </c>
      <c r="V919" s="751">
        <v>2019</v>
      </c>
      <c r="W919" s="222"/>
      <c r="X919" s="186" t="str">
        <f t="shared" si="46"/>
        <v/>
      </c>
      <c r="Y919" s="178" t="str">
        <f t="shared" si="47"/>
        <v/>
      </c>
      <c r="Z919" s="178" t="str">
        <f t="shared" si="48"/>
        <v/>
      </c>
      <c r="AA919" s="44"/>
      <c r="AB919" s="65"/>
    </row>
    <row r="920" spans="1:28" hidden="1">
      <c r="A920" s="751">
        <v>54099</v>
      </c>
      <c r="B920" s="752" t="s">
        <v>56</v>
      </c>
      <c r="C920" s="751" t="s">
        <v>2960</v>
      </c>
      <c r="D920" s="752" t="s">
        <v>442</v>
      </c>
      <c r="E920" s="752" t="s">
        <v>443</v>
      </c>
      <c r="F920" s="751">
        <v>9350</v>
      </c>
      <c r="G920" s="752" t="s">
        <v>59</v>
      </c>
      <c r="H920" s="752" t="s">
        <v>1244</v>
      </c>
      <c r="I920" s="752" t="s">
        <v>60</v>
      </c>
      <c r="J920" s="751">
        <v>322122</v>
      </c>
      <c r="K920" s="751">
        <v>7</v>
      </c>
      <c r="L920" s="752" t="s">
        <v>419</v>
      </c>
      <c r="M920" s="752" t="s">
        <v>44</v>
      </c>
      <c r="N920" s="752" t="s">
        <v>63</v>
      </c>
      <c r="O920" s="752" t="s">
        <v>63</v>
      </c>
      <c r="P920" s="752" t="s">
        <v>49</v>
      </c>
      <c r="Q920" s="753">
        <v>47211</v>
      </c>
      <c r="R920" s="753">
        <v>12618</v>
      </c>
      <c r="S920" s="753">
        <v>299318</v>
      </c>
      <c r="T920" s="753">
        <v>79995</v>
      </c>
      <c r="U920" s="753">
        <v>13977.092000000001</v>
      </c>
      <c r="V920" s="751">
        <v>2019</v>
      </c>
      <c r="W920" s="222"/>
      <c r="X920" s="186" t="str">
        <f t="shared" si="46"/>
        <v/>
      </c>
      <c r="Y920" s="178" t="str">
        <f t="shared" si="47"/>
        <v/>
      </c>
      <c r="Z920" s="178" t="str">
        <f t="shared" si="48"/>
        <v/>
      </c>
      <c r="AA920" s="44"/>
      <c r="AB920" s="65"/>
    </row>
    <row r="921" spans="1:28" ht="25" hidden="1">
      <c r="A921" s="751">
        <v>54099</v>
      </c>
      <c r="B921" s="752" t="s">
        <v>56</v>
      </c>
      <c r="C921" s="751" t="s">
        <v>2960</v>
      </c>
      <c r="D921" s="752" t="s">
        <v>442</v>
      </c>
      <c r="E921" s="752" t="s">
        <v>443</v>
      </c>
      <c r="F921" s="751">
        <v>9350</v>
      </c>
      <c r="G921" s="752" t="s">
        <v>59</v>
      </c>
      <c r="H921" s="752" t="s">
        <v>1244</v>
      </c>
      <c r="I921" s="752" t="s">
        <v>60</v>
      </c>
      <c r="J921" s="751">
        <v>322122</v>
      </c>
      <c r="K921" s="751">
        <v>7</v>
      </c>
      <c r="L921" s="752" t="s">
        <v>419</v>
      </c>
      <c r="M921" s="752" t="s">
        <v>44</v>
      </c>
      <c r="N921" s="752" t="s">
        <v>71</v>
      </c>
      <c r="O921" s="752" t="s">
        <v>72</v>
      </c>
      <c r="P921" s="752" t="s">
        <v>47</v>
      </c>
      <c r="Q921" s="753">
        <v>42713</v>
      </c>
      <c r="R921" s="753">
        <v>10503</v>
      </c>
      <c r="S921" s="753">
        <v>361629</v>
      </c>
      <c r="T921" s="753">
        <v>88925</v>
      </c>
      <c r="U921" s="753">
        <v>15537.142</v>
      </c>
      <c r="V921" s="751">
        <v>2019</v>
      </c>
      <c r="W921" s="222"/>
      <c r="X921" s="186" t="str">
        <f t="shared" si="46"/>
        <v/>
      </c>
      <c r="Y921" s="178" t="str">
        <f t="shared" si="47"/>
        <v/>
      </c>
      <c r="Z921" s="178" t="str">
        <f t="shared" si="48"/>
        <v/>
      </c>
      <c r="AA921" s="44"/>
      <c r="AB921" s="65"/>
    </row>
    <row r="922" spans="1:28" ht="25" hidden="1">
      <c r="A922" s="751">
        <v>54114</v>
      </c>
      <c r="B922" s="752" t="s">
        <v>56</v>
      </c>
      <c r="C922" s="751" t="s">
        <v>2960</v>
      </c>
      <c r="D922" s="752" t="s">
        <v>994</v>
      </c>
      <c r="E922" s="752" t="s">
        <v>995</v>
      </c>
      <c r="F922" s="751">
        <v>10349</v>
      </c>
      <c r="G922" s="752" t="s">
        <v>59</v>
      </c>
      <c r="H922" s="752" t="s">
        <v>1244</v>
      </c>
      <c r="I922" s="752" t="s">
        <v>60</v>
      </c>
      <c r="J922" s="751">
        <v>22</v>
      </c>
      <c r="K922" s="751">
        <v>3</v>
      </c>
      <c r="L922" s="752" t="s">
        <v>57</v>
      </c>
      <c r="M922" s="752" t="s">
        <v>40</v>
      </c>
      <c r="N922" s="752" t="s">
        <v>48</v>
      </c>
      <c r="O922" s="752" t="s">
        <v>48</v>
      </c>
      <c r="P922" s="752" t="s">
        <v>49</v>
      </c>
      <c r="Q922" s="753">
        <v>0</v>
      </c>
      <c r="R922" s="753">
        <v>0</v>
      </c>
      <c r="S922" s="753">
        <v>0</v>
      </c>
      <c r="T922" s="753">
        <v>0</v>
      </c>
      <c r="U922" s="753">
        <v>0</v>
      </c>
      <c r="V922" s="751">
        <v>2019</v>
      </c>
      <c r="W922" s="222"/>
      <c r="X922" s="186" t="str">
        <f t="shared" si="46"/>
        <v/>
      </c>
      <c r="Y922" s="178" t="str">
        <f t="shared" si="47"/>
        <v/>
      </c>
      <c r="Z922" s="178" t="str">
        <f t="shared" si="48"/>
        <v/>
      </c>
      <c r="AA922" s="44"/>
      <c r="AB922" s="65"/>
    </row>
    <row r="923" spans="1:28" ht="25" hidden="1">
      <c r="A923" s="751">
        <v>54114</v>
      </c>
      <c r="B923" s="752" t="s">
        <v>56</v>
      </c>
      <c r="C923" s="751" t="s">
        <v>2960</v>
      </c>
      <c r="D923" s="752" t="s">
        <v>994</v>
      </c>
      <c r="E923" s="752" t="s">
        <v>995</v>
      </c>
      <c r="F923" s="751">
        <v>10349</v>
      </c>
      <c r="G923" s="752" t="s">
        <v>59</v>
      </c>
      <c r="H923" s="752" t="s">
        <v>1244</v>
      </c>
      <c r="I923" s="752" t="s">
        <v>60</v>
      </c>
      <c r="J923" s="751">
        <v>22</v>
      </c>
      <c r="K923" s="751">
        <v>3</v>
      </c>
      <c r="L923" s="752" t="s">
        <v>57</v>
      </c>
      <c r="M923" s="752" t="s">
        <v>40</v>
      </c>
      <c r="N923" s="752" t="s">
        <v>41</v>
      </c>
      <c r="O923" s="752" t="s">
        <v>41</v>
      </c>
      <c r="P923" s="752" t="s">
        <v>1091</v>
      </c>
      <c r="Q923" s="753">
        <v>0</v>
      </c>
      <c r="R923" s="753">
        <v>0</v>
      </c>
      <c r="S923" s="753">
        <v>0</v>
      </c>
      <c r="T923" s="753">
        <v>0</v>
      </c>
      <c r="U923" s="753">
        <v>83948</v>
      </c>
      <c r="V923" s="751">
        <v>2019</v>
      </c>
      <c r="W923" s="222"/>
      <c r="X923" s="186" t="str">
        <f t="shared" si="46"/>
        <v/>
      </c>
      <c r="Y923" s="178" t="str">
        <f t="shared" si="47"/>
        <v/>
      </c>
      <c r="Z923" s="178" t="str">
        <f t="shared" si="48"/>
        <v/>
      </c>
      <c r="AA923" s="44"/>
      <c r="AB923" s="65"/>
    </row>
    <row r="924" spans="1:28" ht="25" hidden="1">
      <c r="A924" s="751">
        <v>54114</v>
      </c>
      <c r="B924" s="752" t="s">
        <v>56</v>
      </c>
      <c r="C924" s="751" t="s">
        <v>2960</v>
      </c>
      <c r="D924" s="752" t="s">
        <v>994</v>
      </c>
      <c r="E924" s="752" t="s">
        <v>995</v>
      </c>
      <c r="F924" s="751">
        <v>10349</v>
      </c>
      <c r="G924" s="752" t="s">
        <v>59</v>
      </c>
      <c r="H924" s="752" t="s">
        <v>1244</v>
      </c>
      <c r="I924" s="752" t="s">
        <v>60</v>
      </c>
      <c r="J924" s="751">
        <v>22</v>
      </c>
      <c r="K924" s="751">
        <v>3</v>
      </c>
      <c r="L924" s="752" t="s">
        <v>57</v>
      </c>
      <c r="M924" s="752" t="s">
        <v>43</v>
      </c>
      <c r="N924" s="752" t="s">
        <v>48</v>
      </c>
      <c r="O924" s="752" t="s">
        <v>48</v>
      </c>
      <c r="P924" s="752" t="s">
        <v>49</v>
      </c>
      <c r="Q924" s="753">
        <v>0</v>
      </c>
      <c r="R924" s="753">
        <v>0</v>
      </c>
      <c r="S924" s="753">
        <v>0</v>
      </c>
      <c r="T924" s="753">
        <v>0</v>
      </c>
      <c r="U924" s="753">
        <v>0</v>
      </c>
      <c r="V924" s="751">
        <v>2019</v>
      </c>
      <c r="W924" s="222"/>
      <c r="X924" s="186" t="str">
        <f t="shared" si="46"/>
        <v/>
      </c>
      <c r="Y924" s="178" t="str">
        <f t="shared" si="47"/>
        <v/>
      </c>
      <c r="Z924" s="178" t="str">
        <f t="shared" si="48"/>
        <v/>
      </c>
      <c r="AA924" s="44"/>
      <c r="AB924" s="65"/>
    </row>
    <row r="925" spans="1:28" ht="25" hidden="1">
      <c r="A925" s="751">
        <v>54114</v>
      </c>
      <c r="B925" s="752" t="s">
        <v>56</v>
      </c>
      <c r="C925" s="751" t="s">
        <v>2960</v>
      </c>
      <c r="D925" s="752" t="s">
        <v>994</v>
      </c>
      <c r="E925" s="752" t="s">
        <v>995</v>
      </c>
      <c r="F925" s="751">
        <v>10349</v>
      </c>
      <c r="G925" s="752" t="s">
        <v>59</v>
      </c>
      <c r="H925" s="752" t="s">
        <v>1244</v>
      </c>
      <c r="I925" s="752" t="s">
        <v>60</v>
      </c>
      <c r="J925" s="751">
        <v>22</v>
      </c>
      <c r="K925" s="751">
        <v>3</v>
      </c>
      <c r="L925" s="752" t="s">
        <v>57</v>
      </c>
      <c r="M925" s="752" t="s">
        <v>43</v>
      </c>
      <c r="N925" s="752" t="s">
        <v>41</v>
      </c>
      <c r="O925" s="752" t="s">
        <v>41</v>
      </c>
      <c r="P925" s="752" t="s">
        <v>1091</v>
      </c>
      <c r="Q925" s="753">
        <v>4266427</v>
      </c>
      <c r="R925" s="753">
        <v>4221689</v>
      </c>
      <c r="S925" s="753">
        <v>4443087</v>
      </c>
      <c r="T925" s="753">
        <v>4396515</v>
      </c>
      <c r="U925" s="753">
        <v>396101</v>
      </c>
      <c r="V925" s="751">
        <v>2019</v>
      </c>
      <c r="W925" s="222"/>
      <c r="X925" s="186">
        <f t="shared" si="46"/>
        <v>11.099479678162893</v>
      </c>
      <c r="Y925" s="178" t="str">
        <f t="shared" si="47"/>
        <v/>
      </c>
      <c r="Z925" s="178" t="str">
        <f t="shared" si="48"/>
        <v/>
      </c>
      <c r="AA925" s="44"/>
      <c r="AB925" s="65"/>
    </row>
    <row r="926" spans="1:28" ht="25" hidden="1">
      <c r="A926" s="751">
        <v>54123</v>
      </c>
      <c r="B926" s="752" t="s">
        <v>35</v>
      </c>
      <c r="C926" s="751" t="s">
        <v>2960</v>
      </c>
      <c r="D926" s="752" t="s">
        <v>996</v>
      </c>
      <c r="E926" s="752" t="s">
        <v>1117</v>
      </c>
      <c r="F926" s="751">
        <v>56839</v>
      </c>
      <c r="G926" s="752" t="s">
        <v>92</v>
      </c>
      <c r="H926" s="752" t="s">
        <v>1245</v>
      </c>
      <c r="I926" s="752" t="s">
        <v>60</v>
      </c>
      <c r="J926" s="751">
        <v>22</v>
      </c>
      <c r="K926" s="751">
        <v>2</v>
      </c>
      <c r="L926" s="752" t="s">
        <v>54</v>
      </c>
      <c r="M926" s="752" t="s">
        <v>37</v>
      </c>
      <c r="N926" s="752" t="s">
        <v>38</v>
      </c>
      <c r="O926" s="752" t="s">
        <v>39</v>
      </c>
      <c r="P926" s="752" t="s">
        <v>1238</v>
      </c>
      <c r="Q926" s="753">
        <v>0</v>
      </c>
      <c r="R926" s="753">
        <v>0</v>
      </c>
      <c r="S926" s="753">
        <v>0</v>
      </c>
      <c r="T926" s="753">
        <v>0</v>
      </c>
      <c r="U926" s="753">
        <v>0</v>
      </c>
      <c r="V926" s="751">
        <v>2019</v>
      </c>
      <c r="W926" s="222"/>
      <c r="X926" s="186"/>
      <c r="Y926" s="178" t="str">
        <f t="shared" si="47"/>
        <v/>
      </c>
      <c r="Z926" s="178" t="str">
        <f t="shared" si="48"/>
        <v/>
      </c>
      <c r="AA926" s="44"/>
      <c r="AB926" s="65"/>
    </row>
    <row r="927" spans="1:28" ht="25" hidden="1">
      <c r="A927" s="751">
        <v>54124</v>
      </c>
      <c r="B927" s="752" t="s">
        <v>35</v>
      </c>
      <c r="C927" s="751" t="s">
        <v>2960</v>
      </c>
      <c r="D927" s="752" t="s">
        <v>1667</v>
      </c>
      <c r="E927" s="752" t="s">
        <v>1114</v>
      </c>
      <c r="F927" s="751">
        <v>56837</v>
      </c>
      <c r="G927" s="752" t="s">
        <v>92</v>
      </c>
      <c r="H927" s="752" t="s">
        <v>1245</v>
      </c>
      <c r="I927" s="752" t="s">
        <v>60</v>
      </c>
      <c r="J927" s="751">
        <v>22</v>
      </c>
      <c r="K927" s="751">
        <v>2</v>
      </c>
      <c r="L927" s="752" t="s">
        <v>54</v>
      </c>
      <c r="M927" s="752" t="s">
        <v>37</v>
      </c>
      <c r="N927" s="752" t="s">
        <v>38</v>
      </c>
      <c r="O927" s="752" t="s">
        <v>39</v>
      </c>
      <c r="P927" s="752" t="s">
        <v>1238</v>
      </c>
      <c r="Q927" s="753">
        <v>0</v>
      </c>
      <c r="R927" s="753">
        <v>0</v>
      </c>
      <c r="S927" s="753">
        <v>37646</v>
      </c>
      <c r="T927" s="753">
        <v>37646</v>
      </c>
      <c r="U927" s="753">
        <v>4228</v>
      </c>
      <c r="V927" s="751">
        <v>2019</v>
      </c>
      <c r="W927" s="222"/>
      <c r="X927" s="186"/>
      <c r="Y927" s="178" t="str">
        <f t="shared" si="47"/>
        <v/>
      </c>
      <c r="Z927" s="178" t="str">
        <f t="shared" si="48"/>
        <v/>
      </c>
      <c r="AA927" s="44"/>
      <c r="AB927" s="65"/>
    </row>
    <row r="928" spans="1:28" hidden="1">
      <c r="A928" s="751">
        <v>54131</v>
      </c>
      <c r="B928" s="752" t="s">
        <v>56</v>
      </c>
      <c r="C928" s="751" t="s">
        <v>2960</v>
      </c>
      <c r="D928" s="752" t="s">
        <v>997</v>
      </c>
      <c r="E928" s="752" t="s">
        <v>998</v>
      </c>
      <c r="F928" s="751">
        <v>50136</v>
      </c>
      <c r="G928" s="752" t="s">
        <v>59</v>
      </c>
      <c r="H928" s="752" t="s">
        <v>1244</v>
      </c>
      <c r="I928" s="752" t="s">
        <v>60</v>
      </c>
      <c r="J928" s="751">
        <v>22</v>
      </c>
      <c r="K928" s="751">
        <v>3</v>
      </c>
      <c r="L928" s="752" t="s">
        <v>57</v>
      </c>
      <c r="M928" s="752" t="s">
        <v>40</v>
      </c>
      <c r="N928" s="752" t="s">
        <v>48</v>
      </c>
      <c r="O928" s="752" t="s">
        <v>48</v>
      </c>
      <c r="P928" s="752" t="s">
        <v>49</v>
      </c>
      <c r="Q928" s="753">
        <v>0</v>
      </c>
      <c r="R928" s="753">
        <v>0</v>
      </c>
      <c r="S928" s="753">
        <v>0</v>
      </c>
      <c r="T928" s="753">
        <v>0</v>
      </c>
      <c r="U928" s="753">
        <v>0</v>
      </c>
      <c r="V928" s="751">
        <v>2019</v>
      </c>
      <c r="W928" s="222"/>
      <c r="X928" s="186" t="str">
        <f>IF(OR(K928&gt;3,T928=0,NOT(U928&gt;0)),"",T928/U928)</f>
        <v/>
      </c>
      <c r="Y928" s="178" t="str">
        <f t="shared" si="47"/>
        <v/>
      </c>
      <c r="Z928" s="178" t="str">
        <f t="shared" si="48"/>
        <v/>
      </c>
      <c r="AA928" s="44"/>
      <c r="AB928" s="65"/>
    </row>
    <row r="929" spans="1:28" hidden="1">
      <c r="A929" s="751">
        <v>54131</v>
      </c>
      <c r="B929" s="752" t="s">
        <v>56</v>
      </c>
      <c r="C929" s="751" t="s">
        <v>2960</v>
      </c>
      <c r="D929" s="752" t="s">
        <v>997</v>
      </c>
      <c r="E929" s="752" t="s">
        <v>998</v>
      </c>
      <c r="F929" s="751">
        <v>50136</v>
      </c>
      <c r="G929" s="752" t="s">
        <v>59</v>
      </c>
      <c r="H929" s="752" t="s">
        <v>1244</v>
      </c>
      <c r="I929" s="752" t="s">
        <v>60</v>
      </c>
      <c r="J929" s="751">
        <v>22</v>
      </c>
      <c r="K929" s="751">
        <v>3</v>
      </c>
      <c r="L929" s="752" t="s">
        <v>57</v>
      </c>
      <c r="M929" s="752" t="s">
        <v>40</v>
      </c>
      <c r="N929" s="752" t="s">
        <v>41</v>
      </c>
      <c r="O929" s="752" t="s">
        <v>41</v>
      </c>
      <c r="P929" s="752" t="s">
        <v>1091</v>
      </c>
      <c r="Q929" s="753">
        <v>0</v>
      </c>
      <c r="R929" s="753">
        <v>0</v>
      </c>
      <c r="S929" s="753">
        <v>0</v>
      </c>
      <c r="T929" s="753">
        <v>0</v>
      </c>
      <c r="U929" s="753">
        <v>4807</v>
      </c>
      <c r="V929" s="751">
        <v>2019</v>
      </c>
      <c r="W929" s="222"/>
      <c r="X929" s="186"/>
      <c r="Y929" s="178" t="str">
        <f t="shared" si="47"/>
        <v/>
      </c>
      <c r="Z929" s="178" t="str">
        <f t="shared" si="48"/>
        <v/>
      </c>
      <c r="AA929" s="44"/>
      <c r="AB929" s="65"/>
    </row>
    <row r="930" spans="1:28" hidden="1">
      <c r="A930" s="751">
        <v>54131</v>
      </c>
      <c r="B930" s="752" t="s">
        <v>56</v>
      </c>
      <c r="C930" s="751" t="s">
        <v>2960</v>
      </c>
      <c r="D930" s="752" t="s">
        <v>997</v>
      </c>
      <c r="E930" s="752" t="s">
        <v>998</v>
      </c>
      <c r="F930" s="751">
        <v>50136</v>
      </c>
      <c r="G930" s="752" t="s">
        <v>59</v>
      </c>
      <c r="H930" s="752" t="s">
        <v>1244</v>
      </c>
      <c r="I930" s="752" t="s">
        <v>60</v>
      </c>
      <c r="J930" s="751">
        <v>22</v>
      </c>
      <c r="K930" s="751">
        <v>3</v>
      </c>
      <c r="L930" s="752" t="s">
        <v>57</v>
      </c>
      <c r="M930" s="752" t="s">
        <v>43</v>
      </c>
      <c r="N930" s="752" t="s">
        <v>48</v>
      </c>
      <c r="O930" s="752" t="s">
        <v>48</v>
      </c>
      <c r="P930" s="752" t="s">
        <v>49</v>
      </c>
      <c r="Q930" s="753">
        <v>0</v>
      </c>
      <c r="R930" s="753">
        <v>0</v>
      </c>
      <c r="S930" s="753">
        <v>0</v>
      </c>
      <c r="T930" s="753">
        <v>0</v>
      </c>
      <c r="U930" s="753">
        <v>0</v>
      </c>
      <c r="V930" s="751">
        <v>2019</v>
      </c>
      <c r="W930" s="222"/>
      <c r="X930" s="186"/>
      <c r="Y930" s="178" t="str">
        <f t="shared" si="47"/>
        <v/>
      </c>
      <c r="Z930" s="178" t="str">
        <f t="shared" si="48"/>
        <v/>
      </c>
      <c r="AA930" s="44"/>
      <c r="AB930" s="65"/>
    </row>
    <row r="931" spans="1:28" hidden="1">
      <c r="A931" s="751">
        <v>54131</v>
      </c>
      <c r="B931" s="752" t="s">
        <v>56</v>
      </c>
      <c r="C931" s="751" t="s">
        <v>2960</v>
      </c>
      <c r="D931" s="752" t="s">
        <v>997</v>
      </c>
      <c r="E931" s="752" t="s">
        <v>998</v>
      </c>
      <c r="F931" s="751">
        <v>50136</v>
      </c>
      <c r="G931" s="752" t="s">
        <v>59</v>
      </c>
      <c r="H931" s="752" t="s">
        <v>1244</v>
      </c>
      <c r="I931" s="752" t="s">
        <v>60</v>
      </c>
      <c r="J931" s="751">
        <v>22</v>
      </c>
      <c r="K931" s="751">
        <v>3</v>
      </c>
      <c r="L931" s="752" t="s">
        <v>57</v>
      </c>
      <c r="M931" s="752" t="s">
        <v>43</v>
      </c>
      <c r="N931" s="752" t="s">
        <v>41</v>
      </c>
      <c r="O931" s="752" t="s">
        <v>41</v>
      </c>
      <c r="P931" s="752" t="s">
        <v>1091</v>
      </c>
      <c r="Q931" s="753">
        <v>155375</v>
      </c>
      <c r="R931" s="753">
        <v>136914</v>
      </c>
      <c r="S931" s="753">
        <v>156463</v>
      </c>
      <c r="T931" s="753">
        <v>137874</v>
      </c>
      <c r="U931" s="753">
        <v>12984</v>
      </c>
      <c r="V931" s="751">
        <v>2019</v>
      </c>
      <c r="W931" s="222"/>
      <c r="X931" s="186">
        <f>IF(OR(K931&gt;3,T931=0,NOT(U931&gt;0)),"",T931/U931)</f>
        <v>10.618761552680223</v>
      </c>
      <c r="Y931" s="86" t="str">
        <f t="shared" si="47"/>
        <v/>
      </c>
      <c r="Z931" s="86" t="str">
        <f t="shared" si="48"/>
        <v/>
      </c>
      <c r="AA931" s="44"/>
      <c r="AB931" s="65"/>
    </row>
    <row r="932" spans="1:28" hidden="1">
      <c r="A932" s="751">
        <v>54134</v>
      </c>
      <c r="B932" s="752" t="s">
        <v>35</v>
      </c>
      <c r="C932" s="751" t="s">
        <v>2960</v>
      </c>
      <c r="D932" s="752" t="s">
        <v>22</v>
      </c>
      <c r="E932" s="752" t="s">
        <v>23</v>
      </c>
      <c r="F932" s="751">
        <v>7595</v>
      </c>
      <c r="G932" s="752" t="s">
        <v>92</v>
      </c>
      <c r="H932" s="752" t="s">
        <v>1245</v>
      </c>
      <c r="I932" s="752" t="s">
        <v>60</v>
      </c>
      <c r="J932" s="751">
        <v>22</v>
      </c>
      <c r="K932" s="751">
        <v>2</v>
      </c>
      <c r="L932" s="752" t="s">
        <v>54</v>
      </c>
      <c r="M932" s="752" t="s">
        <v>37</v>
      </c>
      <c r="N932" s="752" t="s">
        <v>38</v>
      </c>
      <c r="O932" s="752" t="s">
        <v>39</v>
      </c>
      <c r="P932" s="752" t="s">
        <v>1238</v>
      </c>
      <c r="Q932" s="753">
        <v>0</v>
      </c>
      <c r="R932" s="753">
        <v>0</v>
      </c>
      <c r="S932" s="753">
        <v>6438580</v>
      </c>
      <c r="T932" s="753">
        <v>6438580</v>
      </c>
      <c r="U932" s="753">
        <v>723111</v>
      </c>
      <c r="V932" s="751">
        <v>2019</v>
      </c>
      <c r="W932" s="222"/>
      <c r="X932" s="186"/>
      <c r="Y932" s="86" t="str">
        <f t="shared" si="47"/>
        <v/>
      </c>
      <c r="Z932" s="86" t="str">
        <f t="shared" si="48"/>
        <v/>
      </c>
      <c r="AA932" s="44"/>
      <c r="AB932" s="65"/>
    </row>
    <row r="933" spans="1:28" hidden="1">
      <c r="A933" s="751">
        <v>54148</v>
      </c>
      <c r="B933" s="752" t="s">
        <v>35</v>
      </c>
      <c r="C933" s="751" t="s">
        <v>2960</v>
      </c>
      <c r="D933" s="752" t="s">
        <v>999</v>
      </c>
      <c r="E933" s="752" t="s">
        <v>1000</v>
      </c>
      <c r="F933" s="751">
        <v>56597</v>
      </c>
      <c r="G933" s="752" t="s">
        <v>92</v>
      </c>
      <c r="H933" s="752" t="s">
        <v>1245</v>
      </c>
      <c r="I933" s="752" t="s">
        <v>60</v>
      </c>
      <c r="J933" s="751">
        <v>22</v>
      </c>
      <c r="K933" s="751">
        <v>2</v>
      </c>
      <c r="L933" s="752" t="s">
        <v>54</v>
      </c>
      <c r="M933" s="752" t="s">
        <v>37</v>
      </c>
      <c r="N933" s="752" t="s">
        <v>38</v>
      </c>
      <c r="O933" s="752" t="s">
        <v>39</v>
      </c>
      <c r="P933" s="752" t="s">
        <v>1238</v>
      </c>
      <c r="Q933" s="753">
        <v>0</v>
      </c>
      <c r="R933" s="753">
        <v>0</v>
      </c>
      <c r="S933" s="753">
        <v>765868</v>
      </c>
      <c r="T933" s="753">
        <v>765868</v>
      </c>
      <c r="U933" s="753">
        <v>86014</v>
      </c>
      <c r="V933" s="751">
        <v>2019</v>
      </c>
      <c r="W933" s="222"/>
      <c r="X933" s="186"/>
      <c r="Y933" s="86" t="str">
        <f t="shared" si="47"/>
        <v/>
      </c>
      <c r="Z933" s="86" t="str">
        <f t="shared" si="48"/>
        <v/>
      </c>
      <c r="AA933" s="44"/>
      <c r="AB933" s="65"/>
    </row>
    <row r="934" spans="1:28" hidden="1">
      <c r="A934" s="751">
        <v>54149</v>
      </c>
      <c r="B934" s="752" t="s">
        <v>56</v>
      </c>
      <c r="C934" s="751" t="s">
        <v>2960</v>
      </c>
      <c r="D934" s="752" t="s">
        <v>1001</v>
      </c>
      <c r="E934" s="752" t="s">
        <v>1002</v>
      </c>
      <c r="F934" s="751">
        <v>13587</v>
      </c>
      <c r="G934" s="752" t="s">
        <v>59</v>
      </c>
      <c r="H934" s="752" t="s">
        <v>1244</v>
      </c>
      <c r="I934" s="752" t="s">
        <v>60</v>
      </c>
      <c r="J934" s="751">
        <v>22</v>
      </c>
      <c r="K934" s="751">
        <v>3</v>
      </c>
      <c r="L934" s="752" t="s">
        <v>57</v>
      </c>
      <c r="M934" s="752" t="s">
        <v>52</v>
      </c>
      <c r="N934" s="752" t="s">
        <v>48</v>
      </c>
      <c r="O934" s="752" t="s">
        <v>48</v>
      </c>
      <c r="P934" s="752" t="s">
        <v>49</v>
      </c>
      <c r="Q934" s="753">
        <v>7</v>
      </c>
      <c r="R934" s="753">
        <v>4</v>
      </c>
      <c r="S934" s="753">
        <v>41</v>
      </c>
      <c r="T934" s="753">
        <v>21</v>
      </c>
      <c r="U934" s="753">
        <v>3.97</v>
      </c>
      <c r="V934" s="751">
        <v>2019</v>
      </c>
      <c r="W934" s="222"/>
      <c r="X934" s="186">
        <f>IF(OR(K934&gt;3,T934=0,NOT(U934&gt;0)),"",T934/U934)</f>
        <v>5.2896725440806041</v>
      </c>
      <c r="Y934" s="86" t="str">
        <f t="shared" si="47"/>
        <v/>
      </c>
      <c r="Z934" s="86" t="str">
        <f t="shared" si="48"/>
        <v/>
      </c>
      <c r="AA934" s="44"/>
      <c r="AB934" s="65"/>
    </row>
    <row r="935" spans="1:28" hidden="1">
      <c r="A935" s="751">
        <v>54149</v>
      </c>
      <c r="B935" s="752" t="s">
        <v>56</v>
      </c>
      <c r="C935" s="751" t="s">
        <v>2960</v>
      </c>
      <c r="D935" s="752" t="s">
        <v>1001</v>
      </c>
      <c r="E935" s="752" t="s">
        <v>1002</v>
      </c>
      <c r="F935" s="751">
        <v>13587</v>
      </c>
      <c r="G935" s="752" t="s">
        <v>59</v>
      </c>
      <c r="H935" s="752" t="s">
        <v>1244</v>
      </c>
      <c r="I935" s="752" t="s">
        <v>60</v>
      </c>
      <c r="J935" s="751">
        <v>22</v>
      </c>
      <c r="K935" s="751">
        <v>3</v>
      </c>
      <c r="L935" s="752" t="s">
        <v>57</v>
      </c>
      <c r="M935" s="752" t="s">
        <v>52</v>
      </c>
      <c r="N935" s="752" t="s">
        <v>41</v>
      </c>
      <c r="O935" s="752" t="s">
        <v>41</v>
      </c>
      <c r="P935" s="752" t="s">
        <v>1091</v>
      </c>
      <c r="Q935" s="753">
        <v>2902937</v>
      </c>
      <c r="R935" s="753">
        <v>1549051</v>
      </c>
      <c r="S935" s="753">
        <v>2992928</v>
      </c>
      <c r="T935" s="753">
        <v>1597070</v>
      </c>
      <c r="U935" s="753">
        <v>288645.03000000003</v>
      </c>
      <c r="V935" s="751">
        <v>2019</v>
      </c>
      <c r="W935" s="222"/>
      <c r="X935" s="186"/>
      <c r="Y935" s="86" t="str">
        <f t="shared" si="47"/>
        <v/>
      </c>
      <c r="Z935" s="86" t="str">
        <f t="shared" si="48"/>
        <v/>
      </c>
      <c r="AA935" s="44"/>
      <c r="AB935" s="65"/>
    </row>
    <row r="936" spans="1:28" hidden="1">
      <c r="A936" s="751">
        <v>54225</v>
      </c>
      <c r="B936" s="752" t="s">
        <v>56</v>
      </c>
      <c r="C936" s="751" t="s">
        <v>2960</v>
      </c>
      <c r="D936" s="752" t="s">
        <v>1003</v>
      </c>
      <c r="E936" s="752" t="s">
        <v>1004</v>
      </c>
      <c r="F936" s="751">
        <v>7209</v>
      </c>
      <c r="G936" s="752" t="s">
        <v>83</v>
      </c>
      <c r="H936" s="752" t="s">
        <v>1245</v>
      </c>
      <c r="I936" s="752" t="s">
        <v>60</v>
      </c>
      <c r="J936" s="751">
        <v>332</v>
      </c>
      <c r="K936" s="751">
        <v>7</v>
      </c>
      <c r="L936" s="752" t="s">
        <v>419</v>
      </c>
      <c r="M936" s="752" t="s">
        <v>52</v>
      </c>
      <c r="N936" s="752" t="s">
        <v>48</v>
      </c>
      <c r="O936" s="752" t="s">
        <v>48</v>
      </c>
      <c r="P936" s="752" t="s">
        <v>49</v>
      </c>
      <c r="Q936" s="753">
        <v>107</v>
      </c>
      <c r="R936" s="753">
        <v>31</v>
      </c>
      <c r="S936" s="753">
        <v>629</v>
      </c>
      <c r="T936" s="753">
        <v>184</v>
      </c>
      <c r="U936" s="753">
        <v>44.698</v>
      </c>
      <c r="V936" s="751">
        <v>2019</v>
      </c>
      <c r="W936" s="222"/>
      <c r="X936" s="186"/>
      <c r="Y936" s="86" t="str">
        <f t="shared" si="47"/>
        <v/>
      </c>
      <c r="Z936" s="86">
        <f t="shared" si="48"/>
        <v>6.514915739042098</v>
      </c>
      <c r="AA936" s="44"/>
      <c r="AB936" s="65"/>
    </row>
    <row r="937" spans="1:28" hidden="1">
      <c r="A937" s="751">
        <v>54225</v>
      </c>
      <c r="B937" s="752" t="s">
        <v>56</v>
      </c>
      <c r="C937" s="751" t="s">
        <v>2960</v>
      </c>
      <c r="D937" s="752" t="s">
        <v>1003</v>
      </c>
      <c r="E937" s="752" t="s">
        <v>1004</v>
      </c>
      <c r="F937" s="751">
        <v>7209</v>
      </c>
      <c r="G937" s="752" t="s">
        <v>83</v>
      </c>
      <c r="H937" s="752" t="s">
        <v>1245</v>
      </c>
      <c r="I937" s="752" t="s">
        <v>60</v>
      </c>
      <c r="J937" s="751">
        <v>332</v>
      </c>
      <c r="K937" s="751">
        <v>7</v>
      </c>
      <c r="L937" s="752" t="s">
        <v>419</v>
      </c>
      <c r="M937" s="752" t="s">
        <v>52</v>
      </c>
      <c r="N937" s="752" t="s">
        <v>41</v>
      </c>
      <c r="O937" s="752" t="s">
        <v>41</v>
      </c>
      <c r="P937" s="752" t="s">
        <v>1091</v>
      </c>
      <c r="Q937" s="753">
        <v>824374</v>
      </c>
      <c r="R937" s="753">
        <v>226597</v>
      </c>
      <c r="S937" s="753">
        <v>840861</v>
      </c>
      <c r="T937" s="753">
        <v>231129</v>
      </c>
      <c r="U937" s="753">
        <v>56224.302000000003</v>
      </c>
      <c r="V937" s="751">
        <v>2019</v>
      </c>
      <c r="W937" s="222"/>
      <c r="X937" s="186" t="str">
        <f t="shared" ref="X937:X952" si="49">IF(OR(K937&gt;3,T937=0,NOT(U937&gt;0)),"",T937/U937)</f>
        <v/>
      </c>
      <c r="Y937" s="86">
        <f t="shared" si="47"/>
        <v>6.9238298414091473</v>
      </c>
      <c r="Z937" s="86" t="str">
        <f t="shared" si="48"/>
        <v/>
      </c>
      <c r="AA937" s="44"/>
      <c r="AB937" s="65"/>
    </row>
    <row r="938" spans="1:28" hidden="1">
      <c r="A938" s="751">
        <v>54225</v>
      </c>
      <c r="B938" s="752" t="s">
        <v>56</v>
      </c>
      <c r="C938" s="751" t="s">
        <v>2960</v>
      </c>
      <c r="D938" s="752" t="s">
        <v>1003</v>
      </c>
      <c r="E938" s="752" t="s">
        <v>1004</v>
      </c>
      <c r="F938" s="751">
        <v>7209</v>
      </c>
      <c r="G938" s="752" t="s">
        <v>83</v>
      </c>
      <c r="H938" s="752" t="s">
        <v>1245</v>
      </c>
      <c r="I938" s="752" t="s">
        <v>60</v>
      </c>
      <c r="J938" s="751">
        <v>332</v>
      </c>
      <c r="K938" s="751">
        <v>7</v>
      </c>
      <c r="L938" s="752" t="s">
        <v>419</v>
      </c>
      <c r="M938" s="752" t="s">
        <v>52</v>
      </c>
      <c r="N938" s="752" t="s">
        <v>63</v>
      </c>
      <c r="O938" s="752" t="s">
        <v>63</v>
      </c>
      <c r="P938" s="752" t="s">
        <v>49</v>
      </c>
      <c r="Q938" s="753">
        <v>0</v>
      </c>
      <c r="R938" s="753">
        <v>0</v>
      </c>
      <c r="S938" s="753">
        <v>0</v>
      </c>
      <c r="T938" s="753">
        <v>0</v>
      </c>
      <c r="U938" s="753">
        <v>0</v>
      </c>
      <c r="V938" s="751">
        <v>2019</v>
      </c>
      <c r="W938" s="222"/>
      <c r="X938" s="186" t="str">
        <f t="shared" si="49"/>
        <v/>
      </c>
      <c r="Y938" s="86" t="str">
        <f t="shared" si="47"/>
        <v/>
      </c>
      <c r="Z938" s="86" t="str">
        <f t="shared" si="48"/>
        <v/>
      </c>
      <c r="AA938" s="44"/>
      <c r="AB938" s="65"/>
    </row>
    <row r="939" spans="1:28" hidden="1">
      <c r="A939" s="751">
        <v>54225</v>
      </c>
      <c r="B939" s="752" t="s">
        <v>56</v>
      </c>
      <c r="C939" s="751" t="s">
        <v>2960</v>
      </c>
      <c r="D939" s="752" t="s">
        <v>1003</v>
      </c>
      <c r="E939" s="752" t="s">
        <v>1004</v>
      </c>
      <c r="F939" s="751">
        <v>7209</v>
      </c>
      <c r="G939" s="752" t="s">
        <v>83</v>
      </c>
      <c r="H939" s="752" t="s">
        <v>1245</v>
      </c>
      <c r="I939" s="752" t="s">
        <v>60</v>
      </c>
      <c r="J939" s="751">
        <v>332</v>
      </c>
      <c r="K939" s="751">
        <v>7</v>
      </c>
      <c r="L939" s="752" t="s">
        <v>419</v>
      </c>
      <c r="M939" s="752" t="s">
        <v>53</v>
      </c>
      <c r="N939" s="752" t="s">
        <v>48</v>
      </c>
      <c r="O939" s="752" t="s">
        <v>48</v>
      </c>
      <c r="P939" s="752" t="s">
        <v>49</v>
      </c>
      <c r="Q939" s="753">
        <v>1</v>
      </c>
      <c r="R939" s="753">
        <v>0</v>
      </c>
      <c r="S939" s="753">
        <v>6</v>
      </c>
      <c r="T939" s="753">
        <v>0</v>
      </c>
      <c r="U939" s="753">
        <v>0</v>
      </c>
      <c r="V939" s="751">
        <v>2019</v>
      </c>
      <c r="W939" s="222"/>
      <c r="X939" s="186" t="str">
        <f t="shared" si="49"/>
        <v/>
      </c>
      <c r="Y939" s="86" t="str">
        <f t="shared" si="47"/>
        <v/>
      </c>
      <c r="Z939" s="86" t="str">
        <f t="shared" si="48"/>
        <v/>
      </c>
      <c r="AA939" s="44"/>
      <c r="AB939" s="65"/>
    </row>
    <row r="940" spans="1:28" hidden="1">
      <c r="A940" s="751">
        <v>54225</v>
      </c>
      <c r="B940" s="752" t="s">
        <v>56</v>
      </c>
      <c r="C940" s="751" t="s">
        <v>2960</v>
      </c>
      <c r="D940" s="752" t="s">
        <v>1003</v>
      </c>
      <c r="E940" s="752" t="s">
        <v>1004</v>
      </c>
      <c r="F940" s="751">
        <v>7209</v>
      </c>
      <c r="G940" s="752" t="s">
        <v>83</v>
      </c>
      <c r="H940" s="752" t="s">
        <v>1245</v>
      </c>
      <c r="I940" s="752" t="s">
        <v>60</v>
      </c>
      <c r="J940" s="751">
        <v>332</v>
      </c>
      <c r="K940" s="751">
        <v>7</v>
      </c>
      <c r="L940" s="752" t="s">
        <v>419</v>
      </c>
      <c r="M940" s="752" t="s">
        <v>44</v>
      </c>
      <c r="N940" s="752" t="s">
        <v>48</v>
      </c>
      <c r="O940" s="752" t="s">
        <v>48</v>
      </c>
      <c r="P940" s="752" t="s">
        <v>49</v>
      </c>
      <c r="Q940" s="753">
        <v>0</v>
      </c>
      <c r="R940" s="753">
        <v>0</v>
      </c>
      <c r="S940" s="753">
        <v>0</v>
      </c>
      <c r="T940" s="753">
        <v>0</v>
      </c>
      <c r="U940" s="753">
        <v>0</v>
      </c>
      <c r="V940" s="751">
        <v>2019</v>
      </c>
      <c r="W940" s="222"/>
      <c r="X940" s="186" t="str">
        <f t="shared" si="49"/>
        <v/>
      </c>
      <c r="Y940" s="86" t="str">
        <f t="shared" si="47"/>
        <v/>
      </c>
      <c r="Z940" s="86" t="str">
        <f t="shared" si="48"/>
        <v/>
      </c>
      <c r="AA940" s="44"/>
      <c r="AB940" s="65"/>
    </row>
    <row r="941" spans="1:28" hidden="1">
      <c r="A941" s="751">
        <v>54225</v>
      </c>
      <c r="B941" s="752" t="s">
        <v>56</v>
      </c>
      <c r="C941" s="751" t="s">
        <v>2960</v>
      </c>
      <c r="D941" s="752" t="s">
        <v>1003</v>
      </c>
      <c r="E941" s="752" t="s">
        <v>1004</v>
      </c>
      <c r="F941" s="751">
        <v>7209</v>
      </c>
      <c r="G941" s="752" t="s">
        <v>83</v>
      </c>
      <c r="H941" s="752" t="s">
        <v>1245</v>
      </c>
      <c r="I941" s="752" t="s">
        <v>60</v>
      </c>
      <c r="J941" s="751">
        <v>332</v>
      </c>
      <c r="K941" s="751">
        <v>7</v>
      </c>
      <c r="L941" s="752" t="s">
        <v>419</v>
      </c>
      <c r="M941" s="752" t="s">
        <v>44</v>
      </c>
      <c r="N941" s="752" t="s">
        <v>41</v>
      </c>
      <c r="O941" s="752" t="s">
        <v>41</v>
      </c>
      <c r="P941" s="752" t="s">
        <v>1091</v>
      </c>
      <c r="Q941" s="753">
        <v>4551</v>
      </c>
      <c r="R941" s="753">
        <v>2874</v>
      </c>
      <c r="S941" s="753">
        <v>4641</v>
      </c>
      <c r="T941" s="753">
        <v>2930</v>
      </c>
      <c r="U941" s="753">
        <v>10637</v>
      </c>
      <c r="V941" s="751">
        <v>2019</v>
      </c>
      <c r="W941" s="222"/>
      <c r="X941" s="186" t="str">
        <f t="shared" si="49"/>
        <v/>
      </c>
      <c r="Y941" s="86" t="str">
        <f t="shared" si="47"/>
        <v/>
      </c>
      <c r="Z941" s="86" t="str">
        <f t="shared" si="48"/>
        <v/>
      </c>
      <c r="AA941" s="44"/>
      <c r="AB941" s="65"/>
    </row>
    <row r="942" spans="1:28" hidden="1">
      <c r="A942" s="751">
        <v>54228</v>
      </c>
      <c r="B942" s="752" t="s">
        <v>56</v>
      </c>
      <c r="C942" s="751" t="s">
        <v>2960</v>
      </c>
      <c r="D942" s="752" t="s">
        <v>1937</v>
      </c>
      <c r="E942" s="752" t="s">
        <v>1938</v>
      </c>
      <c r="F942" s="751">
        <v>5989</v>
      </c>
      <c r="G942" s="752" t="s">
        <v>83</v>
      </c>
      <c r="H942" s="752" t="s">
        <v>1245</v>
      </c>
      <c r="I942" s="752" t="s">
        <v>60</v>
      </c>
      <c r="J942" s="751">
        <v>322122</v>
      </c>
      <c r="K942" s="751">
        <v>7</v>
      </c>
      <c r="L942" s="752" t="s">
        <v>419</v>
      </c>
      <c r="M942" s="752" t="s">
        <v>52</v>
      </c>
      <c r="N942" s="752" t="s">
        <v>48</v>
      </c>
      <c r="O942" s="752" t="s">
        <v>48</v>
      </c>
      <c r="P942" s="752" t="s">
        <v>49</v>
      </c>
      <c r="Q942" s="753">
        <v>2291</v>
      </c>
      <c r="R942" s="753">
        <v>838</v>
      </c>
      <c r="S942" s="753">
        <v>13473</v>
      </c>
      <c r="T942" s="753">
        <v>4922</v>
      </c>
      <c r="U942" s="753">
        <v>1016.997</v>
      </c>
      <c r="V942" s="751">
        <v>2019</v>
      </c>
      <c r="W942" s="222"/>
      <c r="X942" s="186" t="str">
        <f t="shared" si="49"/>
        <v/>
      </c>
      <c r="Y942" s="86" t="str">
        <f t="shared" si="47"/>
        <v/>
      </c>
      <c r="Z942" s="86">
        <f t="shared" si="48"/>
        <v>6.1332530971084482</v>
      </c>
      <c r="AA942" s="44"/>
      <c r="AB942" s="65"/>
    </row>
    <row r="943" spans="1:28" hidden="1">
      <c r="A943" s="751">
        <v>54228</v>
      </c>
      <c r="B943" s="752" t="s">
        <v>56</v>
      </c>
      <c r="C943" s="751" t="s">
        <v>2960</v>
      </c>
      <c r="D943" s="752" t="s">
        <v>1937</v>
      </c>
      <c r="E943" s="752" t="s">
        <v>1938</v>
      </c>
      <c r="F943" s="751">
        <v>5989</v>
      </c>
      <c r="G943" s="752" t="s">
        <v>83</v>
      </c>
      <c r="H943" s="752" t="s">
        <v>1245</v>
      </c>
      <c r="I943" s="752" t="s">
        <v>60</v>
      </c>
      <c r="J943" s="751">
        <v>322122</v>
      </c>
      <c r="K943" s="751">
        <v>7</v>
      </c>
      <c r="L943" s="752" t="s">
        <v>419</v>
      </c>
      <c r="M943" s="752" t="s">
        <v>52</v>
      </c>
      <c r="N943" s="752" t="s">
        <v>41</v>
      </c>
      <c r="O943" s="752" t="s">
        <v>41</v>
      </c>
      <c r="P943" s="752" t="s">
        <v>1091</v>
      </c>
      <c r="Q943" s="753">
        <v>512517</v>
      </c>
      <c r="R943" s="753">
        <v>186270</v>
      </c>
      <c r="S943" s="753">
        <v>512517</v>
      </c>
      <c r="T943" s="753">
        <v>186270</v>
      </c>
      <c r="U943" s="753">
        <v>38592.002999999997</v>
      </c>
      <c r="V943" s="751">
        <v>2019</v>
      </c>
      <c r="W943" s="222"/>
      <c r="X943" s="186" t="str">
        <f t="shared" si="49"/>
        <v/>
      </c>
      <c r="Y943" s="86">
        <f t="shared" si="47"/>
        <v>6.1483304945039761</v>
      </c>
      <c r="Z943" s="86" t="str">
        <f t="shared" si="48"/>
        <v/>
      </c>
      <c r="AA943" s="44"/>
      <c r="AB943" s="65"/>
    </row>
    <row r="944" spans="1:28" hidden="1">
      <c r="A944" s="751">
        <v>54228</v>
      </c>
      <c r="B944" s="752" t="s">
        <v>56</v>
      </c>
      <c r="C944" s="751" t="s">
        <v>2960</v>
      </c>
      <c r="D944" s="752" t="s">
        <v>1937</v>
      </c>
      <c r="E944" s="752" t="s">
        <v>1938</v>
      </c>
      <c r="F944" s="751">
        <v>5989</v>
      </c>
      <c r="G944" s="752" t="s">
        <v>83</v>
      </c>
      <c r="H944" s="752" t="s">
        <v>1245</v>
      </c>
      <c r="I944" s="752" t="s">
        <v>60</v>
      </c>
      <c r="J944" s="751">
        <v>322122</v>
      </c>
      <c r="K944" s="751">
        <v>7</v>
      </c>
      <c r="L944" s="752" t="s">
        <v>419</v>
      </c>
      <c r="M944" s="752" t="s">
        <v>44</v>
      </c>
      <c r="N944" s="752" t="s">
        <v>41</v>
      </c>
      <c r="O944" s="752" t="s">
        <v>41</v>
      </c>
      <c r="P944" s="752" t="s">
        <v>1091</v>
      </c>
      <c r="Q944" s="753">
        <v>0</v>
      </c>
      <c r="R944" s="753">
        <v>0</v>
      </c>
      <c r="S944" s="753">
        <v>0</v>
      </c>
      <c r="T944" s="753">
        <v>0</v>
      </c>
      <c r="U944" s="753">
        <v>2248.46</v>
      </c>
      <c r="V944" s="751">
        <v>2019</v>
      </c>
      <c r="W944" s="222"/>
      <c r="X944" s="186" t="str">
        <f t="shared" si="49"/>
        <v/>
      </c>
      <c r="Y944" s="178" t="str">
        <f t="shared" si="47"/>
        <v/>
      </c>
      <c r="Z944" s="178" t="str">
        <f t="shared" si="48"/>
        <v/>
      </c>
      <c r="AA944" s="44"/>
      <c r="AB944" s="65"/>
    </row>
    <row r="945" spans="1:28" hidden="1">
      <c r="A945" s="751">
        <v>54228</v>
      </c>
      <c r="B945" s="752" t="s">
        <v>56</v>
      </c>
      <c r="C945" s="751" t="s">
        <v>2960</v>
      </c>
      <c r="D945" s="752" t="s">
        <v>1937</v>
      </c>
      <c r="E945" s="752" t="s">
        <v>1938</v>
      </c>
      <c r="F945" s="751">
        <v>5989</v>
      </c>
      <c r="G945" s="752" t="s">
        <v>83</v>
      </c>
      <c r="H945" s="752" t="s">
        <v>1245</v>
      </c>
      <c r="I945" s="752" t="s">
        <v>60</v>
      </c>
      <c r="J945" s="751">
        <v>322122</v>
      </c>
      <c r="K945" s="751">
        <v>7</v>
      </c>
      <c r="L945" s="752" t="s">
        <v>419</v>
      </c>
      <c r="M945" s="752" t="s">
        <v>44</v>
      </c>
      <c r="N945" s="752" t="s">
        <v>84</v>
      </c>
      <c r="O945" s="752" t="s">
        <v>84</v>
      </c>
      <c r="P945" s="752" t="s">
        <v>1238</v>
      </c>
      <c r="Q945" s="753">
        <v>0</v>
      </c>
      <c r="R945" s="753">
        <v>0</v>
      </c>
      <c r="S945" s="753">
        <v>0</v>
      </c>
      <c r="T945" s="753">
        <v>0</v>
      </c>
      <c r="U945" s="753">
        <v>0</v>
      </c>
      <c r="V945" s="751">
        <v>2019</v>
      </c>
      <c r="W945" s="222"/>
      <c r="X945" s="186" t="str">
        <f t="shared" si="49"/>
        <v/>
      </c>
      <c r="Y945" s="178" t="str">
        <f t="shared" si="47"/>
        <v/>
      </c>
      <c r="Z945" s="178" t="str">
        <f t="shared" si="48"/>
        <v/>
      </c>
      <c r="AA945" s="44"/>
      <c r="AB945" s="65"/>
    </row>
    <row r="946" spans="1:28" hidden="1">
      <c r="A946" s="751">
        <v>54236</v>
      </c>
      <c r="B946" s="752" t="s">
        <v>56</v>
      </c>
      <c r="C946" s="751" t="s">
        <v>2960</v>
      </c>
      <c r="D946" s="752" t="s">
        <v>1005</v>
      </c>
      <c r="E946" s="752" t="s">
        <v>1006</v>
      </c>
      <c r="F946" s="751">
        <v>14928</v>
      </c>
      <c r="G946" s="752" t="s">
        <v>43</v>
      </c>
      <c r="H946" s="752" t="s">
        <v>1245</v>
      </c>
      <c r="I946" s="752" t="s">
        <v>60</v>
      </c>
      <c r="J946" s="751">
        <v>325</v>
      </c>
      <c r="K946" s="751">
        <v>7</v>
      </c>
      <c r="L946" s="752" t="s">
        <v>419</v>
      </c>
      <c r="M946" s="752" t="s">
        <v>52</v>
      </c>
      <c r="N946" s="752" t="s">
        <v>48</v>
      </c>
      <c r="O946" s="752" t="s">
        <v>48</v>
      </c>
      <c r="P946" s="752" t="s">
        <v>49</v>
      </c>
      <c r="Q946" s="753">
        <v>2436</v>
      </c>
      <c r="R946" s="753">
        <v>766</v>
      </c>
      <c r="S946" s="753">
        <v>14179</v>
      </c>
      <c r="T946" s="753">
        <v>4457</v>
      </c>
      <c r="U946" s="753">
        <v>989.64</v>
      </c>
      <c r="V946" s="751">
        <v>2019</v>
      </c>
      <c r="W946" s="222"/>
      <c r="X946" s="186" t="str">
        <f t="shared" si="49"/>
        <v/>
      </c>
      <c r="Y946" s="178" t="str">
        <f t="shared" si="47"/>
        <v/>
      </c>
      <c r="Z946" s="178">
        <f t="shared" si="48"/>
        <v>6.6330704618364784</v>
      </c>
      <c r="AA946" s="44"/>
      <c r="AB946" s="65"/>
    </row>
    <row r="947" spans="1:28" hidden="1">
      <c r="A947" s="751">
        <v>54236</v>
      </c>
      <c r="B947" s="752" t="s">
        <v>56</v>
      </c>
      <c r="C947" s="751" t="s">
        <v>2960</v>
      </c>
      <c r="D947" s="752" t="s">
        <v>1005</v>
      </c>
      <c r="E947" s="752" t="s">
        <v>1006</v>
      </c>
      <c r="F947" s="751">
        <v>14928</v>
      </c>
      <c r="G947" s="752" t="s">
        <v>43</v>
      </c>
      <c r="H947" s="752" t="s">
        <v>1245</v>
      </c>
      <c r="I947" s="752" t="s">
        <v>60</v>
      </c>
      <c r="J947" s="751">
        <v>325</v>
      </c>
      <c r="K947" s="751">
        <v>7</v>
      </c>
      <c r="L947" s="752" t="s">
        <v>419</v>
      </c>
      <c r="M947" s="752" t="s">
        <v>52</v>
      </c>
      <c r="N947" s="752" t="s">
        <v>41</v>
      </c>
      <c r="O947" s="752" t="s">
        <v>41</v>
      </c>
      <c r="P947" s="752" t="s">
        <v>1091</v>
      </c>
      <c r="Q947" s="753">
        <v>782807</v>
      </c>
      <c r="R947" s="753">
        <v>248951</v>
      </c>
      <c r="S947" s="753">
        <v>804526</v>
      </c>
      <c r="T947" s="753">
        <v>255852</v>
      </c>
      <c r="U947" s="753">
        <v>56517.8</v>
      </c>
      <c r="V947" s="751">
        <v>2019</v>
      </c>
      <c r="W947" s="222"/>
      <c r="X947" s="186" t="str">
        <f t="shared" si="49"/>
        <v/>
      </c>
      <c r="Y947" s="178">
        <f t="shared" si="47"/>
        <v>6.590237778907543</v>
      </c>
      <c r="Z947" s="178" t="str">
        <f t="shared" si="48"/>
        <v/>
      </c>
      <c r="AA947" s="44"/>
      <c r="AB947" s="65"/>
    </row>
    <row r="948" spans="1:28" hidden="1">
      <c r="A948" s="751">
        <v>54236</v>
      </c>
      <c r="B948" s="752" t="s">
        <v>56</v>
      </c>
      <c r="C948" s="751" t="s">
        <v>2960</v>
      </c>
      <c r="D948" s="752" t="s">
        <v>1005</v>
      </c>
      <c r="E948" s="752" t="s">
        <v>1006</v>
      </c>
      <c r="F948" s="751">
        <v>14928</v>
      </c>
      <c r="G948" s="752" t="s">
        <v>43</v>
      </c>
      <c r="H948" s="752" t="s">
        <v>1245</v>
      </c>
      <c r="I948" s="752" t="s">
        <v>60</v>
      </c>
      <c r="J948" s="751">
        <v>325</v>
      </c>
      <c r="K948" s="751">
        <v>7</v>
      </c>
      <c r="L948" s="752" t="s">
        <v>419</v>
      </c>
      <c r="M948" s="752" t="s">
        <v>52</v>
      </c>
      <c r="N948" s="752" t="s">
        <v>63</v>
      </c>
      <c r="O948" s="752" t="s">
        <v>63</v>
      </c>
      <c r="P948" s="752" t="s">
        <v>49</v>
      </c>
      <c r="Q948" s="753">
        <v>0</v>
      </c>
      <c r="R948" s="753">
        <v>0</v>
      </c>
      <c r="S948" s="753">
        <v>0</v>
      </c>
      <c r="T948" s="753">
        <v>0</v>
      </c>
      <c r="U948" s="753">
        <v>0</v>
      </c>
      <c r="V948" s="751">
        <v>2019</v>
      </c>
      <c r="W948" s="222"/>
      <c r="X948" s="186" t="str">
        <f t="shared" si="49"/>
        <v/>
      </c>
      <c r="Y948" s="178" t="str">
        <f t="shared" si="47"/>
        <v/>
      </c>
      <c r="Z948" s="178" t="str">
        <f t="shared" si="48"/>
        <v/>
      </c>
      <c r="AA948" s="44"/>
      <c r="AB948" s="65"/>
    </row>
    <row r="949" spans="1:28" ht="12.75" hidden="1" customHeight="1">
      <c r="A949" s="751">
        <v>54236</v>
      </c>
      <c r="B949" s="752" t="s">
        <v>56</v>
      </c>
      <c r="C949" s="751" t="s">
        <v>2960</v>
      </c>
      <c r="D949" s="752" t="s">
        <v>1005</v>
      </c>
      <c r="E949" s="752" t="s">
        <v>1006</v>
      </c>
      <c r="F949" s="751">
        <v>14928</v>
      </c>
      <c r="G949" s="752" t="s">
        <v>43</v>
      </c>
      <c r="H949" s="752" t="s">
        <v>1245</v>
      </c>
      <c r="I949" s="752" t="s">
        <v>60</v>
      </c>
      <c r="J949" s="751">
        <v>325</v>
      </c>
      <c r="K949" s="751">
        <v>7</v>
      </c>
      <c r="L949" s="752" t="s">
        <v>419</v>
      </c>
      <c r="M949" s="752" t="s">
        <v>44</v>
      </c>
      <c r="N949" s="752" t="s">
        <v>48</v>
      </c>
      <c r="O949" s="752" t="s">
        <v>48</v>
      </c>
      <c r="P949" s="752" t="s">
        <v>49</v>
      </c>
      <c r="Q949" s="753">
        <v>10791</v>
      </c>
      <c r="R949" s="753">
        <v>1319</v>
      </c>
      <c r="S949" s="753">
        <v>62804</v>
      </c>
      <c r="T949" s="753">
        <v>7681</v>
      </c>
      <c r="U949" s="753">
        <v>1688.2850000000001</v>
      </c>
      <c r="V949" s="751">
        <v>2019</v>
      </c>
      <c r="W949" s="222"/>
      <c r="X949" s="186" t="str">
        <f t="shared" si="49"/>
        <v/>
      </c>
      <c r="Y949" s="178" t="str">
        <f t="shared" si="47"/>
        <v/>
      </c>
      <c r="Z949" s="178" t="str">
        <f t="shared" si="48"/>
        <v/>
      </c>
      <c r="AA949" s="44"/>
      <c r="AB949" s="65"/>
    </row>
    <row r="950" spans="1:28" ht="12.75" hidden="1" customHeight="1">
      <c r="A950" s="751">
        <v>54236</v>
      </c>
      <c r="B950" s="752" t="s">
        <v>56</v>
      </c>
      <c r="C950" s="751" t="s">
        <v>2960</v>
      </c>
      <c r="D950" s="752" t="s">
        <v>1005</v>
      </c>
      <c r="E950" s="752" t="s">
        <v>1006</v>
      </c>
      <c r="F950" s="751">
        <v>14928</v>
      </c>
      <c r="G950" s="752" t="s">
        <v>43</v>
      </c>
      <c r="H950" s="752" t="s">
        <v>1245</v>
      </c>
      <c r="I950" s="752" t="s">
        <v>60</v>
      </c>
      <c r="J950" s="751">
        <v>325</v>
      </c>
      <c r="K950" s="751">
        <v>7</v>
      </c>
      <c r="L950" s="752" t="s">
        <v>419</v>
      </c>
      <c r="M950" s="752" t="s">
        <v>44</v>
      </c>
      <c r="N950" s="752" t="s">
        <v>41</v>
      </c>
      <c r="O950" s="752" t="s">
        <v>41</v>
      </c>
      <c r="P950" s="752" t="s">
        <v>1091</v>
      </c>
      <c r="Q950" s="753">
        <v>1065903</v>
      </c>
      <c r="R950" s="753">
        <v>149380</v>
      </c>
      <c r="S950" s="753">
        <v>1095417</v>
      </c>
      <c r="T950" s="753">
        <v>153520</v>
      </c>
      <c r="U950" s="753">
        <v>33187.053999999996</v>
      </c>
      <c r="V950" s="751">
        <v>2019</v>
      </c>
      <c r="W950" s="222"/>
      <c r="X950" s="186" t="str">
        <f t="shared" si="49"/>
        <v/>
      </c>
      <c r="Y950" s="178" t="str">
        <f t="shared" si="47"/>
        <v/>
      </c>
      <c r="Z950" s="178" t="str">
        <f t="shared" si="48"/>
        <v/>
      </c>
      <c r="AA950" s="44"/>
      <c r="AB950" s="65"/>
    </row>
    <row r="951" spans="1:28" ht="12.75" hidden="1" customHeight="1">
      <c r="A951" s="751">
        <v>54236</v>
      </c>
      <c r="B951" s="752" t="s">
        <v>56</v>
      </c>
      <c r="C951" s="751" t="s">
        <v>2960</v>
      </c>
      <c r="D951" s="752" t="s">
        <v>1005</v>
      </c>
      <c r="E951" s="752" t="s">
        <v>1006</v>
      </c>
      <c r="F951" s="751">
        <v>14928</v>
      </c>
      <c r="G951" s="752" t="s">
        <v>43</v>
      </c>
      <c r="H951" s="752" t="s">
        <v>1245</v>
      </c>
      <c r="I951" s="752" t="s">
        <v>60</v>
      </c>
      <c r="J951" s="751">
        <v>325</v>
      </c>
      <c r="K951" s="751">
        <v>7</v>
      </c>
      <c r="L951" s="752" t="s">
        <v>419</v>
      </c>
      <c r="M951" s="752" t="s">
        <v>44</v>
      </c>
      <c r="N951" s="752" t="s">
        <v>439</v>
      </c>
      <c r="O951" s="752" t="s">
        <v>69</v>
      </c>
      <c r="P951" s="752" t="s">
        <v>1091</v>
      </c>
      <c r="Q951" s="753">
        <v>0</v>
      </c>
      <c r="R951" s="753">
        <v>0</v>
      </c>
      <c r="S951" s="753">
        <v>0</v>
      </c>
      <c r="T951" s="753">
        <v>0</v>
      </c>
      <c r="U951" s="753">
        <v>0</v>
      </c>
      <c r="V951" s="751">
        <v>2019</v>
      </c>
      <c r="W951" s="222"/>
      <c r="X951" s="186" t="str">
        <f t="shared" si="49"/>
        <v/>
      </c>
      <c r="Y951" s="178" t="str">
        <f t="shared" si="47"/>
        <v/>
      </c>
      <c r="Z951" s="178" t="str">
        <f t="shared" si="48"/>
        <v/>
      </c>
      <c r="AA951" s="44"/>
      <c r="AB951" s="65"/>
    </row>
    <row r="952" spans="1:28" ht="12.75" hidden="1" customHeight="1">
      <c r="A952" s="751">
        <v>54236</v>
      </c>
      <c r="B952" s="752" t="s">
        <v>56</v>
      </c>
      <c r="C952" s="751" t="s">
        <v>2960</v>
      </c>
      <c r="D952" s="752" t="s">
        <v>1005</v>
      </c>
      <c r="E952" s="752" t="s">
        <v>1006</v>
      </c>
      <c r="F952" s="751">
        <v>14928</v>
      </c>
      <c r="G952" s="752" t="s">
        <v>43</v>
      </c>
      <c r="H952" s="752" t="s">
        <v>1245</v>
      </c>
      <c r="I952" s="752" t="s">
        <v>60</v>
      </c>
      <c r="J952" s="751">
        <v>325</v>
      </c>
      <c r="K952" s="751">
        <v>7</v>
      </c>
      <c r="L952" s="752" t="s">
        <v>419</v>
      </c>
      <c r="M952" s="752" t="s">
        <v>44</v>
      </c>
      <c r="N952" s="752" t="s">
        <v>63</v>
      </c>
      <c r="O952" s="752" t="s">
        <v>63</v>
      </c>
      <c r="P952" s="752" t="s">
        <v>49</v>
      </c>
      <c r="Q952" s="753">
        <v>0</v>
      </c>
      <c r="R952" s="753">
        <v>0</v>
      </c>
      <c r="S952" s="753">
        <v>0</v>
      </c>
      <c r="T952" s="753">
        <v>0</v>
      </c>
      <c r="U952" s="753">
        <v>0</v>
      </c>
      <c r="V952" s="751">
        <v>2019</v>
      </c>
      <c r="W952" s="222"/>
      <c r="X952" s="186" t="str">
        <f t="shared" si="49"/>
        <v/>
      </c>
      <c r="Y952" s="178" t="str">
        <f t="shared" si="47"/>
        <v/>
      </c>
      <c r="Z952" s="178" t="str">
        <f t="shared" si="48"/>
        <v/>
      </c>
      <c r="AA952" s="44"/>
      <c r="AB952" s="65"/>
    </row>
    <row r="953" spans="1:28" ht="12.75" hidden="1" customHeight="1">
      <c r="A953" s="751">
        <v>54301</v>
      </c>
      <c r="B953" s="752" t="s">
        <v>35</v>
      </c>
      <c r="C953" s="751" t="s">
        <v>2960</v>
      </c>
      <c r="D953" s="752" t="s">
        <v>1007</v>
      </c>
      <c r="E953" s="752" t="s">
        <v>1008</v>
      </c>
      <c r="F953" s="751">
        <v>12382</v>
      </c>
      <c r="G953" s="752" t="s">
        <v>43</v>
      </c>
      <c r="H953" s="752" t="s">
        <v>1245</v>
      </c>
      <c r="I953" s="752" t="s">
        <v>60</v>
      </c>
      <c r="J953" s="751">
        <v>22</v>
      </c>
      <c r="K953" s="751">
        <v>2</v>
      </c>
      <c r="L953" s="752" t="s">
        <v>54</v>
      </c>
      <c r="M953" s="752" t="s">
        <v>37</v>
      </c>
      <c r="N953" s="752" t="s">
        <v>38</v>
      </c>
      <c r="O953" s="752" t="s">
        <v>39</v>
      </c>
      <c r="P953" s="752" t="s">
        <v>1238</v>
      </c>
      <c r="Q953" s="753">
        <v>0</v>
      </c>
      <c r="R953" s="753">
        <v>0</v>
      </c>
      <c r="S953" s="753">
        <v>28698</v>
      </c>
      <c r="T953" s="753">
        <v>28698</v>
      </c>
      <c r="U953" s="753">
        <v>3223</v>
      </c>
      <c r="V953" s="751">
        <v>2019</v>
      </c>
      <c r="W953" s="222"/>
      <c r="X953" s="186"/>
      <c r="Y953" s="178" t="str">
        <f t="shared" si="47"/>
        <v/>
      </c>
      <c r="Z953" s="178" t="str">
        <f t="shared" si="48"/>
        <v/>
      </c>
      <c r="AA953" s="44"/>
      <c r="AB953" s="65"/>
    </row>
    <row r="954" spans="1:28" ht="12.75" hidden="1" customHeight="1">
      <c r="A954" s="751">
        <v>54302</v>
      </c>
      <c r="B954" s="752" t="s">
        <v>35</v>
      </c>
      <c r="C954" s="751" t="s">
        <v>2960</v>
      </c>
      <c r="D954" s="752" t="s">
        <v>1009</v>
      </c>
      <c r="E954" s="752" t="s">
        <v>1008</v>
      </c>
      <c r="F954" s="751">
        <v>12382</v>
      </c>
      <c r="G954" s="752" t="s">
        <v>43</v>
      </c>
      <c r="H954" s="752" t="s">
        <v>1245</v>
      </c>
      <c r="I954" s="752" t="s">
        <v>60</v>
      </c>
      <c r="J954" s="751">
        <v>22</v>
      </c>
      <c r="K954" s="751">
        <v>2</v>
      </c>
      <c r="L954" s="752" t="s">
        <v>54</v>
      </c>
      <c r="M954" s="752" t="s">
        <v>37</v>
      </c>
      <c r="N954" s="752" t="s">
        <v>38</v>
      </c>
      <c r="O954" s="752" t="s">
        <v>39</v>
      </c>
      <c r="P954" s="752" t="s">
        <v>1238</v>
      </c>
      <c r="Q954" s="753">
        <v>0</v>
      </c>
      <c r="R954" s="753">
        <v>0</v>
      </c>
      <c r="S954" s="753">
        <v>95139</v>
      </c>
      <c r="T954" s="753">
        <v>95139</v>
      </c>
      <c r="U954" s="753">
        <v>10685</v>
      </c>
      <c r="V954" s="751">
        <v>2019</v>
      </c>
      <c r="W954" s="222"/>
      <c r="X954" s="186"/>
      <c r="Y954" s="178" t="str">
        <f t="shared" si="47"/>
        <v/>
      </c>
      <c r="Z954" s="178" t="str">
        <f t="shared" si="48"/>
        <v/>
      </c>
      <c r="AA954" s="44"/>
      <c r="AB954" s="65"/>
    </row>
    <row r="955" spans="1:28" hidden="1">
      <c r="A955" s="751">
        <v>54324</v>
      </c>
      <c r="B955" s="752" t="s">
        <v>35</v>
      </c>
      <c r="C955" s="751" t="s">
        <v>2960</v>
      </c>
      <c r="D955" s="752" t="s">
        <v>24</v>
      </c>
      <c r="E955" s="752" t="s">
        <v>24</v>
      </c>
      <c r="F955" s="751">
        <v>27770</v>
      </c>
      <c r="G955" s="752" t="s">
        <v>136</v>
      </c>
      <c r="H955" s="752" t="s">
        <v>1245</v>
      </c>
      <c r="I955" s="752" t="s">
        <v>60</v>
      </c>
      <c r="J955" s="751">
        <v>22</v>
      </c>
      <c r="K955" s="751">
        <v>2</v>
      </c>
      <c r="L955" s="752" t="s">
        <v>54</v>
      </c>
      <c r="M955" s="752" t="s">
        <v>40</v>
      </c>
      <c r="N955" s="752" t="s">
        <v>48</v>
      </c>
      <c r="O955" s="752" t="s">
        <v>48</v>
      </c>
      <c r="P955" s="752" t="s">
        <v>49</v>
      </c>
      <c r="Q955" s="753">
        <v>0</v>
      </c>
      <c r="R955" s="753">
        <v>0</v>
      </c>
      <c r="S955" s="753">
        <v>0</v>
      </c>
      <c r="T955" s="753">
        <v>0</v>
      </c>
      <c r="U955" s="753">
        <v>881.85199999999998</v>
      </c>
      <c r="V955" s="751">
        <v>2019</v>
      </c>
      <c r="W955" s="222" t="s">
        <v>2666</v>
      </c>
      <c r="X955" s="186"/>
      <c r="Y955" s="178" t="str">
        <f t="shared" si="47"/>
        <v/>
      </c>
      <c r="Z955" s="178" t="str">
        <f t="shared" si="48"/>
        <v/>
      </c>
      <c r="AA955" s="44"/>
      <c r="AB955" s="65"/>
    </row>
    <row r="956" spans="1:28" hidden="1">
      <c r="A956" s="751">
        <v>54324</v>
      </c>
      <c r="B956" s="752" t="s">
        <v>35</v>
      </c>
      <c r="C956" s="751" t="s">
        <v>2960</v>
      </c>
      <c r="D956" s="752" t="s">
        <v>24</v>
      </c>
      <c r="E956" s="752" t="s">
        <v>24</v>
      </c>
      <c r="F956" s="751">
        <v>27770</v>
      </c>
      <c r="G956" s="752" t="s">
        <v>136</v>
      </c>
      <c r="H956" s="752" t="s">
        <v>1245</v>
      </c>
      <c r="I956" s="752" t="s">
        <v>60</v>
      </c>
      <c r="J956" s="751">
        <v>22</v>
      </c>
      <c r="K956" s="751">
        <v>2</v>
      </c>
      <c r="L956" s="752" t="s">
        <v>54</v>
      </c>
      <c r="M956" s="752" t="s">
        <v>40</v>
      </c>
      <c r="N956" s="752" t="s">
        <v>41</v>
      </c>
      <c r="O956" s="752" t="s">
        <v>41</v>
      </c>
      <c r="P956" s="752" t="s">
        <v>1091</v>
      </c>
      <c r="Q956" s="753">
        <v>135313</v>
      </c>
      <c r="R956" s="753">
        <v>135313</v>
      </c>
      <c r="S956" s="753">
        <v>139103</v>
      </c>
      <c r="T956" s="753">
        <v>139103</v>
      </c>
      <c r="U956" s="753">
        <v>220834.15</v>
      </c>
      <c r="V956" s="751">
        <v>2019</v>
      </c>
      <c r="W956" s="222" t="s">
        <v>2666</v>
      </c>
      <c r="X956" s="186"/>
      <c r="Y956" s="178" t="str">
        <f t="shared" si="47"/>
        <v/>
      </c>
      <c r="Z956" s="178" t="str">
        <f t="shared" si="48"/>
        <v/>
      </c>
      <c r="AA956" s="44"/>
      <c r="AB956" s="65"/>
    </row>
    <row r="957" spans="1:28" hidden="1">
      <c r="A957" s="751">
        <v>54324</v>
      </c>
      <c r="B957" s="752" t="s">
        <v>35</v>
      </c>
      <c r="C957" s="751" t="s">
        <v>2960</v>
      </c>
      <c r="D957" s="752" t="s">
        <v>24</v>
      </c>
      <c r="E957" s="752" t="s">
        <v>24</v>
      </c>
      <c r="F957" s="751">
        <v>27770</v>
      </c>
      <c r="G957" s="752" t="s">
        <v>136</v>
      </c>
      <c r="H957" s="752" t="s">
        <v>1245</v>
      </c>
      <c r="I957" s="752" t="s">
        <v>60</v>
      </c>
      <c r="J957" s="751">
        <v>22</v>
      </c>
      <c r="K957" s="751">
        <v>2</v>
      </c>
      <c r="L957" s="752" t="s">
        <v>54</v>
      </c>
      <c r="M957" s="752" t="s">
        <v>43</v>
      </c>
      <c r="N957" s="752" t="s">
        <v>48</v>
      </c>
      <c r="O957" s="752" t="s">
        <v>48</v>
      </c>
      <c r="P957" s="752" t="s">
        <v>49</v>
      </c>
      <c r="Q957" s="753">
        <v>3850</v>
      </c>
      <c r="R957" s="753">
        <v>3850</v>
      </c>
      <c r="S957" s="753">
        <v>22291</v>
      </c>
      <c r="T957" s="753">
        <v>22291</v>
      </c>
      <c r="U957" s="753">
        <v>1614.213</v>
      </c>
      <c r="V957" s="751">
        <v>2019</v>
      </c>
      <c r="W957" s="222" t="s">
        <v>2666</v>
      </c>
      <c r="X957" s="186">
        <f>IF(OR(K957&gt;3,T957=0,NOT(U957&gt;0)),"",T957/U957)</f>
        <v>13.809206096097602</v>
      </c>
      <c r="Y957" s="178" t="str">
        <f t="shared" si="47"/>
        <v/>
      </c>
      <c r="Z957" s="178" t="str">
        <f t="shared" si="48"/>
        <v/>
      </c>
      <c r="AA957" s="44"/>
      <c r="AB957" s="65"/>
    </row>
    <row r="958" spans="1:28" hidden="1">
      <c r="A958" s="751">
        <v>54324</v>
      </c>
      <c r="B958" s="752" t="s">
        <v>35</v>
      </c>
      <c r="C958" s="751" t="s">
        <v>2960</v>
      </c>
      <c r="D958" s="752" t="s">
        <v>24</v>
      </c>
      <c r="E958" s="752" t="s">
        <v>24</v>
      </c>
      <c r="F958" s="751">
        <v>27770</v>
      </c>
      <c r="G958" s="752" t="s">
        <v>136</v>
      </c>
      <c r="H958" s="752" t="s">
        <v>1245</v>
      </c>
      <c r="I958" s="752" t="s">
        <v>60</v>
      </c>
      <c r="J958" s="751">
        <v>22</v>
      </c>
      <c r="K958" s="751">
        <v>2</v>
      </c>
      <c r="L958" s="752" t="s">
        <v>54</v>
      </c>
      <c r="M958" s="752" t="s">
        <v>43</v>
      </c>
      <c r="N958" s="752" t="s">
        <v>41</v>
      </c>
      <c r="O958" s="752" t="s">
        <v>41</v>
      </c>
      <c r="P958" s="752" t="s">
        <v>1091</v>
      </c>
      <c r="Q958" s="753">
        <v>5119873</v>
      </c>
      <c r="R958" s="753">
        <v>5119873</v>
      </c>
      <c r="S958" s="753">
        <v>5263229</v>
      </c>
      <c r="T958" s="753">
        <v>5263229</v>
      </c>
      <c r="U958" s="753">
        <v>385548.79</v>
      </c>
      <c r="V958" s="751">
        <v>2019</v>
      </c>
      <c r="W958" s="222" t="s">
        <v>2666</v>
      </c>
      <c r="X958" s="186">
        <f>IF(OR(K958&gt;3,T958=0,NOT(U958&gt;0)),"",T958/U958)</f>
        <v>13.651265771058444</v>
      </c>
      <c r="Y958" s="86" t="str">
        <f t="shared" si="47"/>
        <v/>
      </c>
      <c r="Z958" s="86" t="str">
        <f t="shared" si="48"/>
        <v/>
      </c>
      <c r="AA958" s="44"/>
      <c r="AB958" s="65"/>
    </row>
    <row r="959" spans="1:28" hidden="1">
      <c r="A959" s="751">
        <v>54355</v>
      </c>
      <c r="B959" s="752" t="s">
        <v>35</v>
      </c>
      <c r="C959" s="751" t="s">
        <v>2960</v>
      </c>
      <c r="D959" s="752" t="s">
        <v>1010</v>
      </c>
      <c r="E959" s="752" t="s">
        <v>1156</v>
      </c>
      <c r="F959" s="751">
        <v>2548</v>
      </c>
      <c r="G959" s="752" t="s">
        <v>91</v>
      </c>
      <c r="H959" s="752" t="s">
        <v>1245</v>
      </c>
      <c r="I959" s="752" t="s">
        <v>60</v>
      </c>
      <c r="J959" s="751">
        <v>22</v>
      </c>
      <c r="K959" s="751">
        <v>1</v>
      </c>
      <c r="L959" s="752" t="s">
        <v>36</v>
      </c>
      <c r="M959" s="752" t="s">
        <v>37</v>
      </c>
      <c r="N959" s="752" t="s">
        <v>38</v>
      </c>
      <c r="O959" s="752" t="s">
        <v>39</v>
      </c>
      <c r="P959" s="752" t="s">
        <v>1238</v>
      </c>
      <c r="Q959" s="753">
        <v>0</v>
      </c>
      <c r="R959" s="753">
        <v>0</v>
      </c>
      <c r="S959" s="753">
        <v>296020</v>
      </c>
      <c r="T959" s="753">
        <v>296020</v>
      </c>
      <c r="U959" s="753">
        <v>33246</v>
      </c>
      <c r="V959" s="751">
        <v>2019</v>
      </c>
      <c r="W959" s="222"/>
      <c r="X959" s="186"/>
      <c r="Y959" s="86" t="str">
        <f t="shared" si="47"/>
        <v/>
      </c>
      <c r="Z959" s="86" t="str">
        <f t="shared" si="48"/>
        <v/>
      </c>
      <c r="AA959" s="44"/>
      <c r="AB959" s="65"/>
    </row>
    <row r="960" spans="1:28" hidden="1">
      <c r="A960" s="751">
        <v>54384</v>
      </c>
      <c r="B960" s="752" t="s">
        <v>35</v>
      </c>
      <c r="C960" s="751" t="s">
        <v>2960</v>
      </c>
      <c r="D960" s="752" t="s">
        <v>1011</v>
      </c>
      <c r="E960" s="752" t="s">
        <v>137</v>
      </c>
      <c r="F960" s="751">
        <v>7601</v>
      </c>
      <c r="G960" s="752" t="s">
        <v>98</v>
      </c>
      <c r="H960" s="752" t="s">
        <v>1245</v>
      </c>
      <c r="I960" s="752" t="s">
        <v>60</v>
      </c>
      <c r="J960" s="751">
        <v>22</v>
      </c>
      <c r="K960" s="751">
        <v>1</v>
      </c>
      <c r="L960" s="752" t="s">
        <v>36</v>
      </c>
      <c r="M960" s="752" t="s">
        <v>37</v>
      </c>
      <c r="N960" s="752" t="s">
        <v>38</v>
      </c>
      <c r="O960" s="752" t="s">
        <v>39</v>
      </c>
      <c r="P960" s="752" t="s">
        <v>1238</v>
      </c>
      <c r="Q960" s="753">
        <v>0</v>
      </c>
      <c r="R960" s="753">
        <v>0</v>
      </c>
      <c r="S960" s="753">
        <v>33665</v>
      </c>
      <c r="T960" s="753">
        <v>33665</v>
      </c>
      <c r="U960" s="753">
        <v>3781</v>
      </c>
      <c r="V960" s="751">
        <v>2019</v>
      </c>
      <c r="W960" s="222"/>
      <c r="X960" s="186"/>
      <c r="Y960" s="86" t="str">
        <f t="shared" si="47"/>
        <v/>
      </c>
      <c r="Z960" s="86" t="str">
        <f t="shared" si="48"/>
        <v/>
      </c>
      <c r="AA960" s="44"/>
      <c r="AB960" s="65"/>
    </row>
    <row r="961" spans="1:28" hidden="1">
      <c r="A961" s="751">
        <v>54385</v>
      </c>
      <c r="B961" s="752" t="s">
        <v>35</v>
      </c>
      <c r="C961" s="751" t="s">
        <v>2960</v>
      </c>
      <c r="D961" s="752" t="s">
        <v>1012</v>
      </c>
      <c r="E961" s="752" t="s">
        <v>1013</v>
      </c>
      <c r="F961" s="751">
        <v>10347</v>
      </c>
      <c r="G961" s="752" t="s">
        <v>43</v>
      </c>
      <c r="H961" s="752" t="s">
        <v>1245</v>
      </c>
      <c r="I961" s="752" t="s">
        <v>60</v>
      </c>
      <c r="J961" s="751">
        <v>22</v>
      </c>
      <c r="K961" s="751">
        <v>2</v>
      </c>
      <c r="L961" s="752" t="s">
        <v>54</v>
      </c>
      <c r="M961" s="752" t="s">
        <v>37</v>
      </c>
      <c r="N961" s="752" t="s">
        <v>38</v>
      </c>
      <c r="O961" s="752" t="s">
        <v>39</v>
      </c>
      <c r="P961" s="752" t="s">
        <v>1238</v>
      </c>
      <c r="Q961" s="753">
        <v>0</v>
      </c>
      <c r="R961" s="753">
        <v>0</v>
      </c>
      <c r="S961" s="753">
        <v>19527</v>
      </c>
      <c r="T961" s="753">
        <v>19527</v>
      </c>
      <c r="U961" s="753">
        <v>2193</v>
      </c>
      <c r="V961" s="751">
        <v>2019</v>
      </c>
      <c r="W961" s="222"/>
      <c r="X961" s="186"/>
      <c r="Y961" s="86" t="str">
        <f t="shared" si="47"/>
        <v/>
      </c>
      <c r="Z961" s="86" t="str">
        <f t="shared" si="48"/>
        <v/>
      </c>
      <c r="AA961" s="44"/>
      <c r="AB961" s="65"/>
    </row>
    <row r="962" spans="1:28" hidden="1">
      <c r="A962" s="751">
        <v>54391</v>
      </c>
      <c r="B962" s="752" t="s">
        <v>35</v>
      </c>
      <c r="C962" s="751" t="s">
        <v>2960</v>
      </c>
      <c r="D962" s="752" t="s">
        <v>1014</v>
      </c>
      <c r="E962" s="752" t="s">
        <v>2025</v>
      </c>
      <c r="F962" s="751">
        <v>326</v>
      </c>
      <c r="G962" s="752" t="s">
        <v>59</v>
      </c>
      <c r="H962" s="752" t="s">
        <v>1244</v>
      </c>
      <c r="I962" s="752" t="s">
        <v>60</v>
      </c>
      <c r="J962" s="751">
        <v>22</v>
      </c>
      <c r="K962" s="751">
        <v>2</v>
      </c>
      <c r="L962" s="752" t="s">
        <v>54</v>
      </c>
      <c r="M962" s="752" t="s">
        <v>37</v>
      </c>
      <c r="N962" s="752" t="s">
        <v>38</v>
      </c>
      <c r="O962" s="752" t="s">
        <v>39</v>
      </c>
      <c r="P962" s="752" t="s">
        <v>1238</v>
      </c>
      <c r="Q962" s="753">
        <v>0</v>
      </c>
      <c r="R962" s="753">
        <v>0</v>
      </c>
      <c r="S962" s="753">
        <v>51037</v>
      </c>
      <c r="T962" s="753">
        <v>51037</v>
      </c>
      <c r="U962" s="753">
        <v>5732</v>
      </c>
      <c r="V962" s="751">
        <v>2019</v>
      </c>
      <c r="W962" s="222"/>
      <c r="X962" s="186"/>
      <c r="Y962" s="86" t="str">
        <f t="shared" si="47"/>
        <v/>
      </c>
      <c r="Z962" s="86" t="str">
        <f t="shared" si="48"/>
        <v/>
      </c>
      <c r="AA962" s="44"/>
      <c r="AB962" s="65"/>
    </row>
    <row r="963" spans="1:28" hidden="1">
      <c r="A963" s="751">
        <v>54395</v>
      </c>
      <c r="B963" s="752" t="s">
        <v>35</v>
      </c>
      <c r="C963" s="751" t="s">
        <v>2960</v>
      </c>
      <c r="D963" s="752" t="s">
        <v>1015</v>
      </c>
      <c r="E963" s="752" t="s">
        <v>1939</v>
      </c>
      <c r="F963" s="751">
        <v>59834</v>
      </c>
      <c r="G963" s="752" t="s">
        <v>59</v>
      </c>
      <c r="H963" s="752" t="s">
        <v>1244</v>
      </c>
      <c r="I963" s="752" t="s">
        <v>60</v>
      </c>
      <c r="J963" s="751">
        <v>22</v>
      </c>
      <c r="K963" s="751">
        <v>2</v>
      </c>
      <c r="L963" s="752" t="s">
        <v>54</v>
      </c>
      <c r="M963" s="752" t="s">
        <v>37</v>
      </c>
      <c r="N963" s="752" t="s">
        <v>38</v>
      </c>
      <c r="O963" s="752" t="s">
        <v>39</v>
      </c>
      <c r="P963" s="752" t="s">
        <v>1238</v>
      </c>
      <c r="Q963" s="753">
        <v>0</v>
      </c>
      <c r="R963" s="753">
        <v>0</v>
      </c>
      <c r="S963" s="753">
        <v>123999</v>
      </c>
      <c r="T963" s="753">
        <v>123999</v>
      </c>
      <c r="U963" s="753">
        <v>13926</v>
      </c>
      <c r="V963" s="751">
        <v>2019</v>
      </c>
      <c r="W963" s="222"/>
      <c r="X963" s="186"/>
      <c r="Y963" s="86" t="str">
        <f t="shared" si="47"/>
        <v/>
      </c>
      <c r="Z963" s="86" t="str">
        <f t="shared" si="48"/>
        <v/>
      </c>
      <c r="AA963" s="44"/>
      <c r="AB963" s="65"/>
    </row>
    <row r="964" spans="1:28" ht="25" hidden="1">
      <c r="A964" s="751">
        <v>54409</v>
      </c>
      <c r="B964" s="752" t="s">
        <v>56</v>
      </c>
      <c r="C964" s="751" t="s">
        <v>2960</v>
      </c>
      <c r="D964" s="752" t="s">
        <v>1016</v>
      </c>
      <c r="E964" s="752" t="s">
        <v>1017</v>
      </c>
      <c r="F964" s="751">
        <v>4823</v>
      </c>
      <c r="G964" s="752" t="s">
        <v>98</v>
      </c>
      <c r="H964" s="752" t="s">
        <v>1245</v>
      </c>
      <c r="I964" s="752" t="s">
        <v>60</v>
      </c>
      <c r="J964" s="751">
        <v>611</v>
      </c>
      <c r="K964" s="751">
        <v>5</v>
      </c>
      <c r="L964" s="752" t="s">
        <v>423</v>
      </c>
      <c r="M964" s="752" t="s">
        <v>44</v>
      </c>
      <c r="N964" s="752" t="s">
        <v>439</v>
      </c>
      <c r="O964" s="752" t="s">
        <v>69</v>
      </c>
      <c r="P964" s="752" t="s">
        <v>1091</v>
      </c>
      <c r="Q964" s="753">
        <v>0</v>
      </c>
      <c r="R964" s="753">
        <v>0</v>
      </c>
      <c r="S964" s="753">
        <v>0</v>
      </c>
      <c r="T964" s="753">
        <v>0</v>
      </c>
      <c r="U964" s="753">
        <v>0</v>
      </c>
      <c r="V964" s="751">
        <v>2019</v>
      </c>
      <c r="W964" s="222"/>
      <c r="X964" s="186"/>
      <c r="Y964" s="86" t="str">
        <f t="shared" si="47"/>
        <v/>
      </c>
      <c r="Z964" s="86" t="str">
        <f t="shared" si="48"/>
        <v/>
      </c>
      <c r="AA964" s="44"/>
      <c r="AB964" s="65"/>
    </row>
    <row r="965" spans="1:28" ht="25" hidden="1">
      <c r="A965" s="751">
        <v>54409</v>
      </c>
      <c r="B965" s="752" t="s">
        <v>56</v>
      </c>
      <c r="C965" s="751" t="s">
        <v>2960</v>
      </c>
      <c r="D965" s="752" t="s">
        <v>1016</v>
      </c>
      <c r="E965" s="752" t="s">
        <v>1017</v>
      </c>
      <c r="F965" s="751">
        <v>4823</v>
      </c>
      <c r="G965" s="752" t="s">
        <v>98</v>
      </c>
      <c r="H965" s="752" t="s">
        <v>1245</v>
      </c>
      <c r="I965" s="752" t="s">
        <v>60</v>
      </c>
      <c r="J965" s="751">
        <v>611</v>
      </c>
      <c r="K965" s="751">
        <v>5</v>
      </c>
      <c r="L965" s="752" t="s">
        <v>423</v>
      </c>
      <c r="M965" s="752" t="s">
        <v>44</v>
      </c>
      <c r="N965" s="752" t="s">
        <v>63</v>
      </c>
      <c r="O965" s="752" t="s">
        <v>63</v>
      </c>
      <c r="P965" s="752" t="s">
        <v>49</v>
      </c>
      <c r="Q965" s="753">
        <v>83800</v>
      </c>
      <c r="R965" s="753">
        <v>12390</v>
      </c>
      <c r="S965" s="753">
        <v>527941</v>
      </c>
      <c r="T965" s="753">
        <v>78051</v>
      </c>
      <c r="U965" s="753">
        <v>12647.83</v>
      </c>
      <c r="V965" s="751">
        <v>2019</v>
      </c>
      <c r="W965" s="222"/>
      <c r="X965" s="186"/>
      <c r="Y965" s="86" t="str">
        <f t="shared" si="47"/>
        <v/>
      </c>
      <c r="Z965" s="86" t="str">
        <f t="shared" si="48"/>
        <v/>
      </c>
      <c r="AA965" s="44"/>
      <c r="AB965" s="65"/>
    </row>
    <row r="966" spans="1:28" hidden="1">
      <c r="A966" s="751">
        <v>54418</v>
      </c>
      <c r="B966" s="752" t="s">
        <v>35</v>
      </c>
      <c r="C966" s="751" t="s">
        <v>2960</v>
      </c>
      <c r="D966" s="752" t="s">
        <v>1018</v>
      </c>
      <c r="E966" s="752" t="s">
        <v>137</v>
      </c>
      <c r="F966" s="751">
        <v>7601</v>
      </c>
      <c r="G966" s="752" t="s">
        <v>98</v>
      </c>
      <c r="H966" s="752" t="s">
        <v>1245</v>
      </c>
      <c r="I966" s="752" t="s">
        <v>60</v>
      </c>
      <c r="J966" s="751">
        <v>22</v>
      </c>
      <c r="K966" s="751">
        <v>1</v>
      </c>
      <c r="L966" s="752" t="s">
        <v>36</v>
      </c>
      <c r="M966" s="752" t="s">
        <v>37</v>
      </c>
      <c r="N966" s="752" t="s">
        <v>38</v>
      </c>
      <c r="O966" s="752" t="s">
        <v>39</v>
      </c>
      <c r="P966" s="752" t="s">
        <v>1238</v>
      </c>
      <c r="Q966" s="753">
        <v>0</v>
      </c>
      <c r="R966" s="753">
        <v>0</v>
      </c>
      <c r="S966" s="753">
        <v>57057</v>
      </c>
      <c r="T966" s="753">
        <v>57057</v>
      </c>
      <c r="U966" s="753">
        <v>6408</v>
      </c>
      <c r="V966" s="751">
        <v>2019</v>
      </c>
      <c r="W966" s="222"/>
      <c r="X966" s="186"/>
      <c r="Y966" s="86" t="str">
        <f t="shared" si="47"/>
        <v/>
      </c>
      <c r="Z966" s="86" t="str">
        <f t="shared" si="48"/>
        <v/>
      </c>
      <c r="AA966" s="44"/>
      <c r="AB966" s="65"/>
    </row>
    <row r="967" spans="1:28" hidden="1">
      <c r="A967" s="751">
        <v>54471</v>
      </c>
      <c r="B967" s="752" t="s">
        <v>35</v>
      </c>
      <c r="C967" s="751" t="s">
        <v>2960</v>
      </c>
      <c r="D967" s="752" t="s">
        <v>1019</v>
      </c>
      <c r="E967" s="752" t="s">
        <v>137</v>
      </c>
      <c r="F967" s="751">
        <v>7601</v>
      </c>
      <c r="G967" s="752" t="s">
        <v>98</v>
      </c>
      <c r="H967" s="752" t="s">
        <v>1245</v>
      </c>
      <c r="I967" s="752" t="s">
        <v>60</v>
      </c>
      <c r="J967" s="751">
        <v>22</v>
      </c>
      <c r="K967" s="751">
        <v>1</v>
      </c>
      <c r="L967" s="752" t="s">
        <v>36</v>
      </c>
      <c r="M967" s="752" t="s">
        <v>37</v>
      </c>
      <c r="N967" s="752" t="s">
        <v>38</v>
      </c>
      <c r="O967" s="752" t="s">
        <v>39</v>
      </c>
      <c r="P967" s="752" t="s">
        <v>1238</v>
      </c>
      <c r="Q967" s="753">
        <v>0</v>
      </c>
      <c r="R967" s="753">
        <v>0</v>
      </c>
      <c r="S967" s="753">
        <v>34279</v>
      </c>
      <c r="T967" s="753">
        <v>34279</v>
      </c>
      <c r="U967" s="753">
        <v>3850</v>
      </c>
      <c r="V967" s="751">
        <v>2019</v>
      </c>
      <c r="W967" s="222"/>
      <c r="X967" s="186"/>
      <c r="Y967" s="86" t="str">
        <f t="shared" ref="Y967:Y1030" si="50">IF(AND($M967=$Y$2,$N967=$Y$3,NOT($Q967=$R967),NOT($U967=0)),IF($K967=5,$S967/($U967+(8/5)*$U967),IF($K967=7,$S967/($U967+(29/25)*$U967),"")),"")</f>
        <v/>
      </c>
      <c r="Z967" s="86" t="str">
        <f t="shared" ref="Z967:Z1030" si="51">IF(AND($M967=$Y$2,$N967=$Y$4,NOT($Q967=$R967),NOT($U967=0)),IF($K967=5,$S967/($U967+(8/5)*$U967),IF($K967=7,$S967/($U967+(29/25)*$U967),"")),"")</f>
        <v/>
      </c>
      <c r="AA967" s="44"/>
      <c r="AB967" s="65"/>
    </row>
    <row r="968" spans="1:28" ht="25" hidden="1">
      <c r="A968" s="751">
        <v>54515</v>
      </c>
      <c r="B968" s="752" t="s">
        <v>56</v>
      </c>
      <c r="C968" s="751" t="s">
        <v>2960</v>
      </c>
      <c r="D968" s="752" t="s">
        <v>1020</v>
      </c>
      <c r="E968" s="752" t="s">
        <v>1021</v>
      </c>
      <c r="F968" s="751">
        <v>4566</v>
      </c>
      <c r="G968" s="752" t="s">
        <v>98</v>
      </c>
      <c r="H968" s="752" t="s">
        <v>1245</v>
      </c>
      <c r="I968" s="752" t="s">
        <v>60</v>
      </c>
      <c r="J968" s="751">
        <v>622</v>
      </c>
      <c r="K968" s="751">
        <v>5</v>
      </c>
      <c r="L968" s="752" t="s">
        <v>423</v>
      </c>
      <c r="M968" s="752" t="s">
        <v>53</v>
      </c>
      <c r="N968" s="752" t="s">
        <v>48</v>
      </c>
      <c r="O968" s="752" t="s">
        <v>48</v>
      </c>
      <c r="P968" s="752" t="s">
        <v>49</v>
      </c>
      <c r="Q968" s="753">
        <v>55</v>
      </c>
      <c r="R968" s="753">
        <v>24</v>
      </c>
      <c r="S968" s="753">
        <v>330</v>
      </c>
      <c r="T968" s="753">
        <v>140</v>
      </c>
      <c r="U968" s="753">
        <v>33</v>
      </c>
      <c r="V968" s="751">
        <v>2019</v>
      </c>
      <c r="W968" s="222"/>
      <c r="X968" s="186"/>
      <c r="Y968" s="86" t="str">
        <f t="shared" si="50"/>
        <v/>
      </c>
      <c r="Z968" s="86" t="str">
        <f t="shared" si="51"/>
        <v/>
      </c>
      <c r="AA968" s="44"/>
      <c r="AB968" s="65"/>
    </row>
    <row r="969" spans="1:28" ht="25" hidden="1">
      <c r="A969" s="751">
        <v>54526</v>
      </c>
      <c r="B969" s="752" t="s">
        <v>56</v>
      </c>
      <c r="C969" s="751" t="s">
        <v>2960</v>
      </c>
      <c r="D969" s="752" t="s">
        <v>1940</v>
      </c>
      <c r="E969" s="752" t="s">
        <v>1172</v>
      </c>
      <c r="F969" s="751">
        <v>57431</v>
      </c>
      <c r="G969" s="752" t="s">
        <v>59</v>
      </c>
      <c r="H969" s="752" t="s">
        <v>1244</v>
      </c>
      <c r="I969" s="752" t="s">
        <v>60</v>
      </c>
      <c r="J969" s="751">
        <v>22</v>
      </c>
      <c r="K969" s="751">
        <v>3</v>
      </c>
      <c r="L969" s="752" t="s">
        <v>57</v>
      </c>
      <c r="M969" s="752" t="s">
        <v>44</v>
      </c>
      <c r="N969" s="752" t="s">
        <v>71</v>
      </c>
      <c r="O969" s="752" t="s">
        <v>72</v>
      </c>
      <c r="P969" s="752" t="s">
        <v>47</v>
      </c>
      <c r="Q969" s="753">
        <v>0</v>
      </c>
      <c r="R969" s="753">
        <v>0</v>
      </c>
      <c r="S969" s="753">
        <v>0</v>
      </c>
      <c r="T969" s="753">
        <v>0</v>
      </c>
      <c r="U969" s="753">
        <v>0</v>
      </c>
      <c r="V969" s="751">
        <v>2019</v>
      </c>
      <c r="W969" s="222"/>
      <c r="X969" s="186"/>
      <c r="Y969" s="86" t="str">
        <f t="shared" si="50"/>
        <v/>
      </c>
      <c r="Z969" s="86" t="str">
        <f t="shared" si="51"/>
        <v/>
      </c>
      <c r="AA969" s="44"/>
      <c r="AB969" s="65"/>
    </row>
    <row r="970" spans="1:28" hidden="1">
      <c r="A970" s="751">
        <v>54547</v>
      </c>
      <c r="B970" s="752" t="s">
        <v>56</v>
      </c>
      <c r="C970" s="751" t="s">
        <v>2960</v>
      </c>
      <c r="D970" s="752" t="s">
        <v>25</v>
      </c>
      <c r="E970" s="752" t="s">
        <v>26</v>
      </c>
      <c r="F970" s="751">
        <v>17254</v>
      </c>
      <c r="G970" s="752" t="s">
        <v>59</v>
      </c>
      <c r="H970" s="752" t="s">
        <v>1244</v>
      </c>
      <c r="I970" s="752" t="s">
        <v>60</v>
      </c>
      <c r="J970" s="751">
        <v>22</v>
      </c>
      <c r="K970" s="751">
        <v>3</v>
      </c>
      <c r="L970" s="752" t="s">
        <v>57</v>
      </c>
      <c r="M970" s="752" t="s">
        <v>40</v>
      </c>
      <c r="N970" s="752" t="s">
        <v>41</v>
      </c>
      <c r="O970" s="752" t="s">
        <v>41</v>
      </c>
      <c r="P970" s="752" t="s">
        <v>1091</v>
      </c>
      <c r="Q970" s="753">
        <v>1114042</v>
      </c>
      <c r="R970" s="753">
        <v>1114042</v>
      </c>
      <c r="S970" s="753">
        <v>1146909</v>
      </c>
      <c r="T970" s="753">
        <v>1146909</v>
      </c>
      <c r="U970" s="753">
        <v>1734160.2</v>
      </c>
      <c r="V970" s="751">
        <v>2019</v>
      </c>
      <c r="W970" s="222"/>
      <c r="X970" s="186">
        <f>IF(OR(K970&gt;3,T970=0,NOT(U970&gt;0)),"",T970/U970)</f>
        <v>0.66136277375066044</v>
      </c>
      <c r="Y970" s="86" t="str">
        <f t="shared" si="50"/>
        <v/>
      </c>
      <c r="Z970" s="86" t="str">
        <f t="shared" si="51"/>
        <v/>
      </c>
      <c r="AA970" s="44"/>
      <c r="AB970" s="65"/>
    </row>
    <row r="971" spans="1:28" hidden="1">
      <c r="A971" s="751">
        <v>54547</v>
      </c>
      <c r="B971" s="752" t="s">
        <v>56</v>
      </c>
      <c r="C971" s="751" t="s">
        <v>2960</v>
      </c>
      <c r="D971" s="752" t="s">
        <v>25</v>
      </c>
      <c r="E971" s="752" t="s">
        <v>26</v>
      </c>
      <c r="F971" s="751">
        <v>17254</v>
      </c>
      <c r="G971" s="752" t="s">
        <v>59</v>
      </c>
      <c r="H971" s="752" t="s">
        <v>1244</v>
      </c>
      <c r="I971" s="752" t="s">
        <v>60</v>
      </c>
      <c r="J971" s="751">
        <v>22</v>
      </c>
      <c r="K971" s="751">
        <v>3</v>
      </c>
      <c r="L971" s="752" t="s">
        <v>57</v>
      </c>
      <c r="M971" s="752" t="s">
        <v>43</v>
      </c>
      <c r="N971" s="752" t="s">
        <v>41</v>
      </c>
      <c r="O971" s="752" t="s">
        <v>41</v>
      </c>
      <c r="P971" s="752" t="s">
        <v>1091</v>
      </c>
      <c r="Q971" s="753">
        <v>33324140</v>
      </c>
      <c r="R971" s="753">
        <v>30208341</v>
      </c>
      <c r="S971" s="753">
        <v>34308193</v>
      </c>
      <c r="T971" s="753">
        <v>31100770</v>
      </c>
      <c r="U971" s="753">
        <v>3045908.6</v>
      </c>
      <c r="V971" s="751">
        <v>2019</v>
      </c>
      <c r="W971" s="222"/>
      <c r="X971" s="186">
        <f>IF(OR(K971&gt;3,T971=0,NOT(U971&gt;0)),"",T971/U971)</f>
        <v>10.210670799511187</v>
      </c>
      <c r="Y971" s="86" t="str">
        <f t="shared" si="50"/>
        <v/>
      </c>
      <c r="Z971" s="86" t="str">
        <f t="shared" si="51"/>
        <v/>
      </c>
      <c r="AA971" s="44"/>
      <c r="AB971" s="65"/>
    </row>
    <row r="972" spans="1:28" ht="25" hidden="1">
      <c r="A972" s="751">
        <v>54548</v>
      </c>
      <c r="B972" s="752" t="s">
        <v>35</v>
      </c>
      <c r="C972" s="751" t="s">
        <v>2960</v>
      </c>
      <c r="D972" s="752" t="s">
        <v>1022</v>
      </c>
      <c r="E972" s="752" t="s">
        <v>1941</v>
      </c>
      <c r="F972" s="751">
        <v>59827</v>
      </c>
      <c r="G972" s="752" t="s">
        <v>59</v>
      </c>
      <c r="H972" s="752" t="s">
        <v>1244</v>
      </c>
      <c r="I972" s="752" t="s">
        <v>60</v>
      </c>
      <c r="J972" s="751">
        <v>22</v>
      </c>
      <c r="K972" s="751">
        <v>2</v>
      </c>
      <c r="L972" s="752" t="s">
        <v>54</v>
      </c>
      <c r="M972" s="752" t="s">
        <v>37</v>
      </c>
      <c r="N972" s="752" t="s">
        <v>38</v>
      </c>
      <c r="O972" s="752" t="s">
        <v>39</v>
      </c>
      <c r="P972" s="752" t="s">
        <v>1238</v>
      </c>
      <c r="Q972" s="753">
        <v>0</v>
      </c>
      <c r="R972" s="753">
        <v>0</v>
      </c>
      <c r="S972" s="753">
        <v>8807</v>
      </c>
      <c r="T972" s="753">
        <v>8807</v>
      </c>
      <c r="U972" s="753">
        <v>989</v>
      </c>
      <c r="V972" s="751">
        <v>2019</v>
      </c>
      <c r="W972" s="222"/>
      <c r="X972" s="186"/>
      <c r="Y972" s="86" t="str">
        <f t="shared" si="50"/>
        <v/>
      </c>
      <c r="Z972" s="86" t="str">
        <f t="shared" si="51"/>
        <v/>
      </c>
      <c r="AA972" s="44"/>
      <c r="AB972" s="65"/>
    </row>
    <row r="973" spans="1:28" hidden="1">
      <c r="A973" s="751">
        <v>54564</v>
      </c>
      <c r="B973" s="752" t="s">
        <v>56</v>
      </c>
      <c r="C973" s="751" t="s">
        <v>2960</v>
      </c>
      <c r="D973" s="752" t="s">
        <v>2462</v>
      </c>
      <c r="E973" s="752" t="s">
        <v>2462</v>
      </c>
      <c r="F973" s="751">
        <v>7092</v>
      </c>
      <c r="G973" s="752" t="s">
        <v>59</v>
      </c>
      <c r="H973" s="752" t="s">
        <v>1244</v>
      </c>
      <c r="I973" s="752" t="s">
        <v>60</v>
      </c>
      <c r="J973" s="751">
        <v>311</v>
      </c>
      <c r="K973" s="751">
        <v>7</v>
      </c>
      <c r="L973" s="752" t="s">
        <v>419</v>
      </c>
      <c r="M973" s="752" t="s">
        <v>52</v>
      </c>
      <c r="N973" s="752" t="s">
        <v>41</v>
      </c>
      <c r="O973" s="752" t="s">
        <v>41</v>
      </c>
      <c r="P973" s="752" t="s">
        <v>1091</v>
      </c>
      <c r="Q973" s="753">
        <v>0</v>
      </c>
      <c r="R973" s="753">
        <v>0</v>
      </c>
      <c r="S973" s="753">
        <v>0</v>
      </c>
      <c r="T973" s="753">
        <v>0</v>
      </c>
      <c r="U973" s="753">
        <v>0</v>
      </c>
      <c r="V973" s="751">
        <v>2019</v>
      </c>
      <c r="W973" s="222"/>
      <c r="X973" s="186" t="str">
        <f>IF(OR(K973&gt;3,T973=0,NOT(U973&gt;0)),"",T973/U973)</f>
        <v/>
      </c>
      <c r="Y973" s="86" t="str">
        <f t="shared" si="50"/>
        <v/>
      </c>
      <c r="Z973" s="86" t="str">
        <f t="shared" si="51"/>
        <v/>
      </c>
      <c r="AA973" s="44"/>
      <c r="AB973" s="65"/>
    </row>
    <row r="974" spans="1:28" hidden="1">
      <c r="A974" s="751">
        <v>54572</v>
      </c>
      <c r="B974" s="752" t="s">
        <v>35</v>
      </c>
      <c r="C974" s="751" t="s">
        <v>2960</v>
      </c>
      <c r="D974" s="752" t="s">
        <v>1023</v>
      </c>
      <c r="E974" s="752" t="s">
        <v>1159</v>
      </c>
      <c r="F974" s="751">
        <v>57280</v>
      </c>
      <c r="G974" s="752" t="s">
        <v>98</v>
      </c>
      <c r="H974" s="752" t="s">
        <v>1245</v>
      </c>
      <c r="I974" s="752" t="s">
        <v>60</v>
      </c>
      <c r="J974" s="751">
        <v>22</v>
      </c>
      <c r="K974" s="751">
        <v>2</v>
      </c>
      <c r="L974" s="752" t="s">
        <v>54</v>
      </c>
      <c r="M974" s="752" t="s">
        <v>37</v>
      </c>
      <c r="N974" s="752" t="s">
        <v>38</v>
      </c>
      <c r="O974" s="752" t="s">
        <v>39</v>
      </c>
      <c r="P974" s="752" t="s">
        <v>1238</v>
      </c>
      <c r="Q974" s="753">
        <v>0</v>
      </c>
      <c r="R974" s="753">
        <v>0</v>
      </c>
      <c r="S974" s="753">
        <v>29784</v>
      </c>
      <c r="T974" s="753">
        <v>29784</v>
      </c>
      <c r="U974" s="753">
        <v>3345</v>
      </c>
      <c r="V974" s="751">
        <v>2019</v>
      </c>
      <c r="W974" s="222"/>
      <c r="X974" s="186"/>
      <c r="Y974" s="86" t="str">
        <f t="shared" si="50"/>
        <v/>
      </c>
      <c r="Z974" s="86" t="str">
        <f t="shared" si="51"/>
        <v/>
      </c>
      <c r="AA974" s="44"/>
      <c r="AB974" s="65"/>
    </row>
    <row r="975" spans="1:28" hidden="1">
      <c r="A975" s="751">
        <v>54573</v>
      </c>
      <c r="B975" s="752" t="s">
        <v>35</v>
      </c>
      <c r="C975" s="751" t="s">
        <v>2960</v>
      </c>
      <c r="D975" s="752" t="s">
        <v>1024</v>
      </c>
      <c r="E975" s="752" t="s">
        <v>1025</v>
      </c>
      <c r="F975" s="751">
        <v>54838</v>
      </c>
      <c r="G975" s="752" t="s">
        <v>59</v>
      </c>
      <c r="H975" s="752" t="s">
        <v>1244</v>
      </c>
      <c r="I975" s="752" t="s">
        <v>60</v>
      </c>
      <c r="J975" s="751">
        <v>22</v>
      </c>
      <c r="K975" s="751">
        <v>2</v>
      </c>
      <c r="L975" s="752" t="s">
        <v>54</v>
      </c>
      <c r="M975" s="752" t="s">
        <v>37</v>
      </c>
      <c r="N975" s="752" t="s">
        <v>38</v>
      </c>
      <c r="O975" s="752" t="s">
        <v>39</v>
      </c>
      <c r="P975" s="752" t="s">
        <v>1238</v>
      </c>
      <c r="Q975" s="753">
        <v>0</v>
      </c>
      <c r="R975" s="753">
        <v>0</v>
      </c>
      <c r="S975" s="753">
        <v>52053</v>
      </c>
      <c r="T975" s="753">
        <v>52053</v>
      </c>
      <c r="U975" s="753">
        <v>5846</v>
      </c>
      <c r="V975" s="751">
        <v>2019</v>
      </c>
      <c r="W975" s="222"/>
      <c r="X975" s="186"/>
      <c r="Y975" s="178" t="str">
        <f t="shared" si="50"/>
        <v/>
      </c>
      <c r="Z975" s="178" t="str">
        <f t="shared" si="51"/>
        <v/>
      </c>
      <c r="AA975" s="44"/>
      <c r="AB975" s="65"/>
    </row>
    <row r="976" spans="1:28" hidden="1">
      <c r="A976" s="751">
        <v>54574</v>
      </c>
      <c r="B976" s="752" t="s">
        <v>35</v>
      </c>
      <c r="C976" s="751" t="s">
        <v>2960</v>
      </c>
      <c r="D976" s="752" t="s">
        <v>27</v>
      </c>
      <c r="E976" s="752" t="s">
        <v>28</v>
      </c>
      <c r="F976" s="751">
        <v>16729</v>
      </c>
      <c r="G976" s="752" t="s">
        <v>59</v>
      </c>
      <c r="H976" s="752" t="s">
        <v>1244</v>
      </c>
      <c r="I976" s="752" t="s">
        <v>60</v>
      </c>
      <c r="J976" s="751">
        <v>22</v>
      </c>
      <c r="K976" s="751">
        <v>2</v>
      </c>
      <c r="L976" s="752" t="s">
        <v>54</v>
      </c>
      <c r="M976" s="752" t="s">
        <v>40</v>
      </c>
      <c r="N976" s="752" t="s">
        <v>41</v>
      </c>
      <c r="O976" s="752" t="s">
        <v>41</v>
      </c>
      <c r="P976" s="752" t="s">
        <v>1091</v>
      </c>
      <c r="Q976" s="753">
        <v>33086</v>
      </c>
      <c r="R976" s="753">
        <v>33086</v>
      </c>
      <c r="S976" s="753">
        <v>34326</v>
      </c>
      <c r="T976" s="753">
        <v>34326</v>
      </c>
      <c r="U976" s="753">
        <v>26886</v>
      </c>
      <c r="V976" s="751">
        <v>2019</v>
      </c>
      <c r="W976" s="222" t="s">
        <v>2666</v>
      </c>
      <c r="X976" s="186"/>
      <c r="Y976" s="178" t="str">
        <f t="shared" si="50"/>
        <v/>
      </c>
      <c r="Z976" s="178" t="str">
        <f t="shared" si="51"/>
        <v/>
      </c>
      <c r="AA976" s="44"/>
      <c r="AB976" s="65"/>
    </row>
    <row r="977" spans="1:28" hidden="1">
      <c r="A977" s="751">
        <v>54574</v>
      </c>
      <c r="B977" s="752" t="s">
        <v>35</v>
      </c>
      <c r="C977" s="751" t="s">
        <v>2960</v>
      </c>
      <c r="D977" s="752" t="s">
        <v>27</v>
      </c>
      <c r="E977" s="752" t="s">
        <v>28</v>
      </c>
      <c r="F977" s="751">
        <v>16729</v>
      </c>
      <c r="G977" s="752" t="s">
        <v>59</v>
      </c>
      <c r="H977" s="752" t="s">
        <v>1244</v>
      </c>
      <c r="I977" s="752" t="s">
        <v>60</v>
      </c>
      <c r="J977" s="751">
        <v>22</v>
      </c>
      <c r="K977" s="751">
        <v>2</v>
      </c>
      <c r="L977" s="752" t="s">
        <v>54</v>
      </c>
      <c r="M977" s="752" t="s">
        <v>43</v>
      </c>
      <c r="N977" s="752" t="s">
        <v>41</v>
      </c>
      <c r="O977" s="752" t="s">
        <v>41</v>
      </c>
      <c r="P977" s="752" t="s">
        <v>1091</v>
      </c>
      <c r="Q977" s="753">
        <v>589097</v>
      </c>
      <c r="R977" s="753">
        <v>589097</v>
      </c>
      <c r="S977" s="753">
        <v>610021</v>
      </c>
      <c r="T977" s="753">
        <v>610021</v>
      </c>
      <c r="U977" s="753">
        <v>54303</v>
      </c>
      <c r="V977" s="751">
        <v>2019</v>
      </c>
      <c r="W977" s="222" t="s">
        <v>2666</v>
      </c>
      <c r="X977" s="186">
        <f>IF(OR(K977&gt;3,T977=0,NOT(U977&gt;0)),"",T977/U977)</f>
        <v>11.233651916100399</v>
      </c>
      <c r="Y977" s="178" t="str">
        <f t="shared" si="50"/>
        <v/>
      </c>
      <c r="Z977" s="178" t="str">
        <f t="shared" si="51"/>
        <v/>
      </c>
      <c r="AA977" s="44"/>
      <c r="AB977" s="65"/>
    </row>
    <row r="978" spans="1:28" hidden="1">
      <c r="A978" s="751">
        <v>54580</v>
      </c>
      <c r="B978" s="752" t="s">
        <v>35</v>
      </c>
      <c r="C978" s="751" t="s">
        <v>2960</v>
      </c>
      <c r="D978" s="752" t="s">
        <v>29</v>
      </c>
      <c r="E978" s="752" t="s">
        <v>1226</v>
      </c>
      <c r="F978" s="751">
        <v>24931</v>
      </c>
      <c r="G978" s="752" t="s">
        <v>59</v>
      </c>
      <c r="H978" s="752" t="s">
        <v>1244</v>
      </c>
      <c r="I978" s="752" t="s">
        <v>60</v>
      </c>
      <c r="J978" s="751">
        <v>22</v>
      </c>
      <c r="K978" s="751">
        <v>2</v>
      </c>
      <c r="L978" s="752" t="s">
        <v>54</v>
      </c>
      <c r="M978" s="752" t="s">
        <v>37</v>
      </c>
      <c r="N978" s="752" t="s">
        <v>38</v>
      </c>
      <c r="O978" s="752" t="s">
        <v>39</v>
      </c>
      <c r="P978" s="752" t="s">
        <v>1238</v>
      </c>
      <c r="Q978" s="753">
        <v>0</v>
      </c>
      <c r="R978" s="753">
        <v>0</v>
      </c>
      <c r="S978" s="753">
        <v>3654559</v>
      </c>
      <c r="T978" s="753">
        <v>3654559</v>
      </c>
      <c r="U978" s="753">
        <v>410440</v>
      </c>
      <c r="V978" s="751">
        <v>2019</v>
      </c>
      <c r="W978" s="222"/>
      <c r="X978" s="186"/>
      <c r="Y978" s="178" t="str">
        <f t="shared" si="50"/>
        <v/>
      </c>
      <c r="Z978" s="178" t="str">
        <f t="shared" si="51"/>
        <v/>
      </c>
      <c r="AA978" s="44"/>
      <c r="AB978" s="65"/>
    </row>
    <row r="979" spans="1:28" hidden="1">
      <c r="A979" s="751">
        <v>54586</v>
      </c>
      <c r="B979" s="752" t="s">
        <v>35</v>
      </c>
      <c r="C979" s="751" t="s">
        <v>2960</v>
      </c>
      <c r="D979" s="752" t="s">
        <v>1942</v>
      </c>
      <c r="E979" s="752" t="s">
        <v>1943</v>
      </c>
      <c r="F979" s="751">
        <v>56171</v>
      </c>
      <c r="G979" s="752" t="s">
        <v>83</v>
      </c>
      <c r="H979" s="752" t="s">
        <v>1245</v>
      </c>
      <c r="I979" s="752" t="s">
        <v>60</v>
      </c>
      <c r="J979" s="751">
        <v>22</v>
      </c>
      <c r="K979" s="751">
        <v>2</v>
      </c>
      <c r="L979" s="752" t="s">
        <v>54</v>
      </c>
      <c r="M979" s="752" t="s">
        <v>40</v>
      </c>
      <c r="N979" s="752" t="s">
        <v>48</v>
      </c>
      <c r="O979" s="752" t="s">
        <v>48</v>
      </c>
      <c r="P979" s="752" t="s">
        <v>49</v>
      </c>
      <c r="Q979" s="753">
        <v>0</v>
      </c>
      <c r="R979" s="753">
        <v>0</v>
      </c>
      <c r="S979" s="753">
        <v>0</v>
      </c>
      <c r="T979" s="753">
        <v>0</v>
      </c>
      <c r="U979" s="753">
        <v>66.132999999999996</v>
      </c>
      <c r="V979" s="751">
        <v>2019</v>
      </c>
      <c r="W979" s="222" t="s">
        <v>2666</v>
      </c>
      <c r="X979" s="186"/>
      <c r="Y979" s="178" t="str">
        <f t="shared" si="50"/>
        <v/>
      </c>
      <c r="Z979" s="178" t="str">
        <f t="shared" si="51"/>
        <v/>
      </c>
      <c r="AA979" s="44"/>
      <c r="AB979" s="65"/>
    </row>
    <row r="980" spans="1:28" hidden="1">
      <c r="A980" s="751">
        <v>54586</v>
      </c>
      <c r="B980" s="752" t="s">
        <v>35</v>
      </c>
      <c r="C980" s="751" t="s">
        <v>2960</v>
      </c>
      <c r="D980" s="752" t="s">
        <v>1942</v>
      </c>
      <c r="E980" s="752" t="s">
        <v>1943</v>
      </c>
      <c r="F980" s="751">
        <v>56171</v>
      </c>
      <c r="G980" s="752" t="s">
        <v>83</v>
      </c>
      <c r="H980" s="752" t="s">
        <v>1245</v>
      </c>
      <c r="I980" s="752" t="s">
        <v>60</v>
      </c>
      <c r="J980" s="751">
        <v>22</v>
      </c>
      <c r="K980" s="751">
        <v>2</v>
      </c>
      <c r="L980" s="752" t="s">
        <v>54</v>
      </c>
      <c r="M980" s="752" t="s">
        <v>40</v>
      </c>
      <c r="N980" s="752" t="s">
        <v>41</v>
      </c>
      <c r="O980" s="752" t="s">
        <v>41</v>
      </c>
      <c r="P980" s="752" t="s">
        <v>1091</v>
      </c>
      <c r="Q980" s="753">
        <v>8364</v>
      </c>
      <c r="R980" s="753">
        <v>8364</v>
      </c>
      <c r="S980" s="753">
        <v>8617</v>
      </c>
      <c r="T980" s="753">
        <v>8617</v>
      </c>
      <c r="U980" s="753">
        <v>2192.8670000000002</v>
      </c>
      <c r="V980" s="751">
        <v>2019</v>
      </c>
      <c r="W980" s="222" t="s">
        <v>2666</v>
      </c>
      <c r="X980" s="186">
        <f t="shared" ref="X980:X997" si="52">IF(OR(K980&gt;3,T980=0,NOT(U980&gt;0)),"",T980/U980)</f>
        <v>3.9295588834160937</v>
      </c>
      <c r="Y980" s="178" t="str">
        <f t="shared" si="50"/>
        <v/>
      </c>
      <c r="Z980" s="178" t="str">
        <f t="shared" si="51"/>
        <v/>
      </c>
      <c r="AA980" s="44"/>
      <c r="AB980" s="65"/>
    </row>
    <row r="981" spans="1:28" hidden="1">
      <c r="A981" s="751">
        <v>54586</v>
      </c>
      <c r="B981" s="752" t="s">
        <v>35</v>
      </c>
      <c r="C981" s="751" t="s">
        <v>2960</v>
      </c>
      <c r="D981" s="752" t="s">
        <v>1942</v>
      </c>
      <c r="E981" s="752" t="s">
        <v>1943</v>
      </c>
      <c r="F981" s="751">
        <v>56171</v>
      </c>
      <c r="G981" s="752" t="s">
        <v>83</v>
      </c>
      <c r="H981" s="752" t="s">
        <v>1245</v>
      </c>
      <c r="I981" s="752" t="s">
        <v>60</v>
      </c>
      <c r="J981" s="751">
        <v>22</v>
      </c>
      <c r="K981" s="751">
        <v>2</v>
      </c>
      <c r="L981" s="752" t="s">
        <v>54</v>
      </c>
      <c r="M981" s="752" t="s">
        <v>43</v>
      </c>
      <c r="N981" s="752" t="s">
        <v>48</v>
      </c>
      <c r="O981" s="752" t="s">
        <v>48</v>
      </c>
      <c r="P981" s="752" t="s">
        <v>49</v>
      </c>
      <c r="Q981" s="753">
        <v>582</v>
      </c>
      <c r="R981" s="753">
        <v>582</v>
      </c>
      <c r="S981" s="753">
        <v>3375</v>
      </c>
      <c r="T981" s="753">
        <v>3375</v>
      </c>
      <c r="U981" s="753">
        <v>326.05399999999997</v>
      </c>
      <c r="V981" s="751">
        <v>2019</v>
      </c>
      <c r="W981" s="222" t="s">
        <v>2666</v>
      </c>
      <c r="X981" s="186">
        <f t="shared" si="52"/>
        <v>10.351046145730463</v>
      </c>
      <c r="Y981" s="178" t="str">
        <f t="shared" si="50"/>
        <v/>
      </c>
      <c r="Z981" s="178" t="str">
        <f t="shared" si="51"/>
        <v/>
      </c>
      <c r="AA981" s="44"/>
      <c r="AB981" s="65"/>
    </row>
    <row r="982" spans="1:28" hidden="1">
      <c r="A982" s="751">
        <v>54586</v>
      </c>
      <c r="B982" s="752" t="s">
        <v>35</v>
      </c>
      <c r="C982" s="751" t="s">
        <v>2960</v>
      </c>
      <c r="D982" s="752" t="s">
        <v>1942</v>
      </c>
      <c r="E982" s="752" t="s">
        <v>1943</v>
      </c>
      <c r="F982" s="751">
        <v>56171</v>
      </c>
      <c r="G982" s="752" t="s">
        <v>83</v>
      </c>
      <c r="H982" s="752" t="s">
        <v>1245</v>
      </c>
      <c r="I982" s="752" t="s">
        <v>60</v>
      </c>
      <c r="J982" s="751">
        <v>22</v>
      </c>
      <c r="K982" s="751">
        <v>2</v>
      </c>
      <c r="L982" s="752" t="s">
        <v>54</v>
      </c>
      <c r="M982" s="752" t="s">
        <v>43</v>
      </c>
      <c r="N982" s="752" t="s">
        <v>41</v>
      </c>
      <c r="O982" s="752" t="s">
        <v>41</v>
      </c>
      <c r="P982" s="752" t="s">
        <v>1091</v>
      </c>
      <c r="Q982" s="753">
        <v>103939</v>
      </c>
      <c r="R982" s="753">
        <v>103939</v>
      </c>
      <c r="S982" s="753">
        <v>106987</v>
      </c>
      <c r="T982" s="753">
        <v>106987</v>
      </c>
      <c r="U982" s="753">
        <v>10695.946</v>
      </c>
      <c r="V982" s="751">
        <v>2019</v>
      </c>
      <c r="W982" s="222" t="s">
        <v>2666</v>
      </c>
      <c r="X982" s="186">
        <f t="shared" si="52"/>
        <v>10.002574807314847</v>
      </c>
      <c r="Y982" s="178" t="str">
        <f t="shared" si="50"/>
        <v/>
      </c>
      <c r="Z982" s="178" t="str">
        <f t="shared" si="51"/>
        <v/>
      </c>
      <c r="AA982" s="44"/>
      <c r="AB982" s="65"/>
    </row>
    <row r="983" spans="1:28" hidden="1">
      <c r="A983" s="751">
        <v>54592</v>
      </c>
      <c r="B983" s="752" t="s">
        <v>35</v>
      </c>
      <c r="C983" s="751" t="s">
        <v>2960</v>
      </c>
      <c r="D983" s="752" t="s">
        <v>312</v>
      </c>
      <c r="E983" s="752" t="s">
        <v>1260</v>
      </c>
      <c r="F983" s="751">
        <v>15253</v>
      </c>
      <c r="G983" s="752" t="s">
        <v>59</v>
      </c>
      <c r="H983" s="752" t="s">
        <v>1244</v>
      </c>
      <c r="I983" s="752" t="s">
        <v>60</v>
      </c>
      <c r="J983" s="751">
        <v>22</v>
      </c>
      <c r="K983" s="751">
        <v>2</v>
      </c>
      <c r="L983" s="752" t="s">
        <v>54</v>
      </c>
      <c r="M983" s="752" t="s">
        <v>40</v>
      </c>
      <c r="N983" s="752" t="s">
        <v>48</v>
      </c>
      <c r="O983" s="752" t="s">
        <v>48</v>
      </c>
      <c r="P983" s="752" t="s">
        <v>49</v>
      </c>
      <c r="Q983" s="753">
        <v>0</v>
      </c>
      <c r="R983" s="753">
        <v>0</v>
      </c>
      <c r="S983" s="753">
        <v>0</v>
      </c>
      <c r="T983" s="753">
        <v>0</v>
      </c>
      <c r="U983" s="753">
        <v>0</v>
      </c>
      <c r="V983" s="751">
        <v>2019</v>
      </c>
      <c r="W983" s="222" t="s">
        <v>2666</v>
      </c>
      <c r="X983" s="186" t="str">
        <f t="shared" si="52"/>
        <v/>
      </c>
      <c r="Y983" s="178" t="str">
        <f t="shared" si="50"/>
        <v/>
      </c>
      <c r="Z983" s="178" t="str">
        <f t="shared" si="51"/>
        <v/>
      </c>
      <c r="AA983" s="44"/>
      <c r="AB983" s="65"/>
    </row>
    <row r="984" spans="1:28" hidden="1">
      <c r="A984" s="751">
        <v>54592</v>
      </c>
      <c r="B984" s="752" t="s">
        <v>35</v>
      </c>
      <c r="C984" s="751" t="s">
        <v>2960</v>
      </c>
      <c r="D984" s="752" t="s">
        <v>312</v>
      </c>
      <c r="E984" s="752" t="s">
        <v>1260</v>
      </c>
      <c r="F984" s="751">
        <v>15253</v>
      </c>
      <c r="G984" s="752" t="s">
        <v>59</v>
      </c>
      <c r="H984" s="752" t="s">
        <v>1244</v>
      </c>
      <c r="I984" s="752" t="s">
        <v>60</v>
      </c>
      <c r="J984" s="751">
        <v>22</v>
      </c>
      <c r="K984" s="751">
        <v>2</v>
      </c>
      <c r="L984" s="752" t="s">
        <v>54</v>
      </c>
      <c r="M984" s="752" t="s">
        <v>40</v>
      </c>
      <c r="N984" s="752" t="s">
        <v>41</v>
      </c>
      <c r="O984" s="752" t="s">
        <v>41</v>
      </c>
      <c r="P984" s="752" t="s">
        <v>1091</v>
      </c>
      <c r="Q984" s="753">
        <v>2225</v>
      </c>
      <c r="R984" s="753">
        <v>2225</v>
      </c>
      <c r="S984" s="753">
        <v>2297</v>
      </c>
      <c r="T984" s="753">
        <v>2297</v>
      </c>
      <c r="U984" s="753">
        <v>556</v>
      </c>
      <c r="V984" s="751">
        <v>2019</v>
      </c>
      <c r="W984" s="222" t="s">
        <v>2666</v>
      </c>
      <c r="X984" s="186">
        <f t="shared" si="52"/>
        <v>4.1312949640287773</v>
      </c>
      <c r="Y984" s="178" t="str">
        <f t="shared" si="50"/>
        <v/>
      </c>
      <c r="Z984" s="178" t="str">
        <f t="shared" si="51"/>
        <v/>
      </c>
      <c r="AA984" s="44"/>
      <c r="AB984" s="65"/>
    </row>
    <row r="985" spans="1:28" hidden="1">
      <c r="A985" s="751">
        <v>54592</v>
      </c>
      <c r="B985" s="752" t="s">
        <v>35</v>
      </c>
      <c r="C985" s="751" t="s">
        <v>2960</v>
      </c>
      <c r="D985" s="752" t="s">
        <v>312</v>
      </c>
      <c r="E985" s="752" t="s">
        <v>1260</v>
      </c>
      <c r="F985" s="751">
        <v>15253</v>
      </c>
      <c r="G985" s="752" t="s">
        <v>59</v>
      </c>
      <c r="H985" s="752" t="s">
        <v>1244</v>
      </c>
      <c r="I985" s="752" t="s">
        <v>60</v>
      </c>
      <c r="J985" s="751">
        <v>22</v>
      </c>
      <c r="K985" s="751">
        <v>2</v>
      </c>
      <c r="L985" s="752" t="s">
        <v>54</v>
      </c>
      <c r="M985" s="752" t="s">
        <v>40</v>
      </c>
      <c r="N985" s="752" t="s">
        <v>436</v>
      </c>
      <c r="O985" s="752" t="s">
        <v>51</v>
      </c>
      <c r="P985" s="752" t="s">
        <v>49</v>
      </c>
      <c r="Q985" s="753">
        <v>0</v>
      </c>
      <c r="R985" s="753">
        <v>0</v>
      </c>
      <c r="S985" s="753">
        <v>0</v>
      </c>
      <c r="T985" s="753">
        <v>0</v>
      </c>
      <c r="U985" s="753">
        <v>0</v>
      </c>
      <c r="V985" s="751">
        <v>2019</v>
      </c>
      <c r="W985" s="222" t="s">
        <v>2666</v>
      </c>
      <c r="X985" s="186" t="str">
        <f t="shared" si="52"/>
        <v/>
      </c>
      <c r="Y985" s="178" t="str">
        <f t="shared" si="50"/>
        <v/>
      </c>
      <c r="Z985" s="178" t="str">
        <f t="shared" si="51"/>
        <v/>
      </c>
      <c r="AA985" s="44"/>
      <c r="AB985" s="65"/>
    </row>
    <row r="986" spans="1:28" hidden="1">
      <c r="A986" s="751">
        <v>54592</v>
      </c>
      <c r="B986" s="752" t="s">
        <v>35</v>
      </c>
      <c r="C986" s="751" t="s">
        <v>2960</v>
      </c>
      <c r="D986" s="752" t="s">
        <v>312</v>
      </c>
      <c r="E986" s="752" t="s">
        <v>1260</v>
      </c>
      <c r="F986" s="751">
        <v>15253</v>
      </c>
      <c r="G986" s="752" t="s">
        <v>59</v>
      </c>
      <c r="H986" s="752" t="s">
        <v>1244</v>
      </c>
      <c r="I986" s="752" t="s">
        <v>60</v>
      </c>
      <c r="J986" s="751">
        <v>22</v>
      </c>
      <c r="K986" s="751">
        <v>2</v>
      </c>
      <c r="L986" s="752" t="s">
        <v>54</v>
      </c>
      <c r="M986" s="752" t="s">
        <v>43</v>
      </c>
      <c r="N986" s="752" t="s">
        <v>48</v>
      </c>
      <c r="O986" s="752" t="s">
        <v>48</v>
      </c>
      <c r="P986" s="752" t="s">
        <v>49</v>
      </c>
      <c r="Q986" s="753">
        <v>0</v>
      </c>
      <c r="R986" s="753">
        <v>0</v>
      </c>
      <c r="S986" s="753">
        <v>0</v>
      </c>
      <c r="T986" s="753">
        <v>0</v>
      </c>
      <c r="U986" s="753">
        <v>0</v>
      </c>
      <c r="V986" s="751">
        <v>2019</v>
      </c>
      <c r="W986" s="222" t="s">
        <v>2666</v>
      </c>
      <c r="X986" s="186" t="str">
        <f t="shared" si="52"/>
        <v/>
      </c>
      <c r="Y986" s="86" t="str">
        <f t="shared" si="50"/>
        <v/>
      </c>
      <c r="Z986" s="86" t="str">
        <f t="shared" si="51"/>
        <v/>
      </c>
      <c r="AA986" s="44"/>
      <c r="AB986" s="65"/>
    </row>
    <row r="987" spans="1:28" hidden="1">
      <c r="A987" s="751">
        <v>54592</v>
      </c>
      <c r="B987" s="752" t="s">
        <v>35</v>
      </c>
      <c r="C987" s="751" t="s">
        <v>2960</v>
      </c>
      <c r="D987" s="752" t="s">
        <v>312</v>
      </c>
      <c r="E987" s="752" t="s">
        <v>1260</v>
      </c>
      <c r="F987" s="751">
        <v>15253</v>
      </c>
      <c r="G987" s="752" t="s">
        <v>59</v>
      </c>
      <c r="H987" s="752" t="s">
        <v>1244</v>
      </c>
      <c r="I987" s="752" t="s">
        <v>60</v>
      </c>
      <c r="J987" s="751">
        <v>22</v>
      </c>
      <c r="K987" s="751">
        <v>2</v>
      </c>
      <c r="L987" s="752" t="s">
        <v>54</v>
      </c>
      <c r="M987" s="752" t="s">
        <v>43</v>
      </c>
      <c r="N987" s="752" t="s">
        <v>41</v>
      </c>
      <c r="O987" s="752" t="s">
        <v>41</v>
      </c>
      <c r="P987" s="752" t="s">
        <v>1091</v>
      </c>
      <c r="Q987" s="753">
        <v>10845</v>
      </c>
      <c r="R987" s="753">
        <v>10845</v>
      </c>
      <c r="S987" s="753">
        <v>11194</v>
      </c>
      <c r="T987" s="753">
        <v>11194</v>
      </c>
      <c r="U987" s="753">
        <v>925</v>
      </c>
      <c r="V987" s="751">
        <v>2019</v>
      </c>
      <c r="W987" s="222" t="s">
        <v>2666</v>
      </c>
      <c r="X987" s="186">
        <f t="shared" si="52"/>
        <v>12.101621621621621</v>
      </c>
      <c r="Y987" s="86" t="str">
        <f t="shared" si="50"/>
        <v/>
      </c>
      <c r="Z987" s="86" t="str">
        <f t="shared" si="51"/>
        <v/>
      </c>
      <c r="AA987" s="44"/>
      <c r="AB987" s="65"/>
    </row>
    <row r="988" spans="1:28" hidden="1">
      <c r="A988" s="751">
        <v>54592</v>
      </c>
      <c r="B988" s="752" t="s">
        <v>35</v>
      </c>
      <c r="C988" s="751" t="s">
        <v>2960</v>
      </c>
      <c r="D988" s="752" t="s">
        <v>312</v>
      </c>
      <c r="E988" s="752" t="s">
        <v>1260</v>
      </c>
      <c r="F988" s="751">
        <v>15253</v>
      </c>
      <c r="G988" s="752" t="s">
        <v>59</v>
      </c>
      <c r="H988" s="752" t="s">
        <v>1244</v>
      </c>
      <c r="I988" s="752" t="s">
        <v>60</v>
      </c>
      <c r="J988" s="751">
        <v>22</v>
      </c>
      <c r="K988" s="751">
        <v>2</v>
      </c>
      <c r="L988" s="752" t="s">
        <v>54</v>
      </c>
      <c r="M988" s="752" t="s">
        <v>43</v>
      </c>
      <c r="N988" s="752" t="s">
        <v>436</v>
      </c>
      <c r="O988" s="752" t="s">
        <v>51</v>
      </c>
      <c r="P988" s="752" t="s">
        <v>49</v>
      </c>
      <c r="Q988" s="753">
        <v>0</v>
      </c>
      <c r="R988" s="753">
        <v>0</v>
      </c>
      <c r="S988" s="753">
        <v>0</v>
      </c>
      <c r="T988" s="753">
        <v>0</v>
      </c>
      <c r="U988" s="753">
        <v>0</v>
      </c>
      <c r="V988" s="751">
        <v>2019</v>
      </c>
      <c r="W988" s="222" t="s">
        <v>2666</v>
      </c>
      <c r="X988" s="186" t="str">
        <f t="shared" si="52"/>
        <v/>
      </c>
      <c r="Y988" s="178" t="str">
        <f t="shared" si="50"/>
        <v/>
      </c>
      <c r="Z988" s="178" t="str">
        <f t="shared" si="51"/>
        <v/>
      </c>
      <c r="AA988" s="44"/>
      <c r="AB988" s="65"/>
    </row>
    <row r="989" spans="1:28" hidden="1">
      <c r="A989" s="751">
        <v>54592</v>
      </c>
      <c r="B989" s="752" t="s">
        <v>35</v>
      </c>
      <c r="C989" s="751" t="s">
        <v>2960</v>
      </c>
      <c r="D989" s="752" t="s">
        <v>312</v>
      </c>
      <c r="E989" s="752" t="s">
        <v>1260</v>
      </c>
      <c r="F989" s="751">
        <v>15253</v>
      </c>
      <c r="G989" s="752" t="s">
        <v>59</v>
      </c>
      <c r="H989" s="752" t="s">
        <v>1244</v>
      </c>
      <c r="I989" s="752" t="s">
        <v>60</v>
      </c>
      <c r="J989" s="751">
        <v>22</v>
      </c>
      <c r="K989" s="751">
        <v>2</v>
      </c>
      <c r="L989" s="752" t="s">
        <v>54</v>
      </c>
      <c r="M989" s="752" t="s">
        <v>53</v>
      </c>
      <c r="N989" s="752" t="s">
        <v>48</v>
      </c>
      <c r="O989" s="752" t="s">
        <v>48</v>
      </c>
      <c r="P989" s="752" t="s">
        <v>49</v>
      </c>
      <c r="Q989" s="753">
        <v>0</v>
      </c>
      <c r="R989" s="753">
        <v>0</v>
      </c>
      <c r="S989" s="753">
        <v>0</v>
      </c>
      <c r="T989" s="753">
        <v>0</v>
      </c>
      <c r="U989" s="753">
        <v>0</v>
      </c>
      <c r="V989" s="751">
        <v>2019</v>
      </c>
      <c r="W989" s="222"/>
      <c r="X989" s="186" t="str">
        <f t="shared" si="52"/>
        <v/>
      </c>
      <c r="Y989" s="178" t="str">
        <f t="shared" si="50"/>
        <v/>
      </c>
      <c r="Z989" s="178" t="str">
        <f t="shared" si="51"/>
        <v/>
      </c>
      <c r="AA989" s="44"/>
      <c r="AB989" s="65"/>
    </row>
    <row r="990" spans="1:28" hidden="1">
      <c r="A990" s="751">
        <v>54593</v>
      </c>
      <c r="B990" s="752" t="s">
        <v>35</v>
      </c>
      <c r="C990" s="751" t="s">
        <v>2960</v>
      </c>
      <c r="D990" s="752" t="s">
        <v>1027</v>
      </c>
      <c r="E990" s="752" t="s">
        <v>1028</v>
      </c>
      <c r="F990" s="751">
        <v>16839</v>
      </c>
      <c r="G990" s="752" t="s">
        <v>59</v>
      </c>
      <c r="H990" s="752" t="s">
        <v>1244</v>
      </c>
      <c r="I990" s="752" t="s">
        <v>60</v>
      </c>
      <c r="J990" s="751">
        <v>22</v>
      </c>
      <c r="K990" s="751">
        <v>2</v>
      </c>
      <c r="L990" s="752" t="s">
        <v>54</v>
      </c>
      <c r="M990" s="752" t="s">
        <v>40</v>
      </c>
      <c r="N990" s="752" t="s">
        <v>41</v>
      </c>
      <c r="O990" s="752" t="s">
        <v>41</v>
      </c>
      <c r="P990" s="752" t="s">
        <v>1091</v>
      </c>
      <c r="Q990" s="753">
        <v>0</v>
      </c>
      <c r="R990" s="753">
        <v>0</v>
      </c>
      <c r="S990" s="753">
        <v>0</v>
      </c>
      <c r="T990" s="753">
        <v>0</v>
      </c>
      <c r="U990" s="753">
        <v>2728</v>
      </c>
      <c r="V990" s="751">
        <v>2019</v>
      </c>
      <c r="W990" s="222" t="s">
        <v>2666</v>
      </c>
      <c r="X990" s="186" t="str">
        <f t="shared" si="52"/>
        <v/>
      </c>
      <c r="Y990" s="86" t="str">
        <f t="shared" si="50"/>
        <v/>
      </c>
      <c r="Z990" s="86" t="str">
        <f t="shared" si="51"/>
        <v/>
      </c>
      <c r="AA990" s="44"/>
      <c r="AB990" s="65"/>
    </row>
    <row r="991" spans="1:28" hidden="1">
      <c r="A991" s="751">
        <v>54593</v>
      </c>
      <c r="B991" s="752" t="s">
        <v>35</v>
      </c>
      <c r="C991" s="751" t="s">
        <v>2960</v>
      </c>
      <c r="D991" s="752" t="s">
        <v>1027</v>
      </c>
      <c r="E991" s="752" t="s">
        <v>1028</v>
      </c>
      <c r="F991" s="751">
        <v>16839</v>
      </c>
      <c r="G991" s="752" t="s">
        <v>59</v>
      </c>
      <c r="H991" s="752" t="s">
        <v>1244</v>
      </c>
      <c r="I991" s="752" t="s">
        <v>60</v>
      </c>
      <c r="J991" s="751">
        <v>22</v>
      </c>
      <c r="K991" s="751">
        <v>2</v>
      </c>
      <c r="L991" s="752" t="s">
        <v>54</v>
      </c>
      <c r="M991" s="752" t="s">
        <v>43</v>
      </c>
      <c r="N991" s="752" t="s">
        <v>41</v>
      </c>
      <c r="O991" s="752" t="s">
        <v>41</v>
      </c>
      <c r="P991" s="752" t="s">
        <v>1091</v>
      </c>
      <c r="Q991" s="753">
        <v>86316</v>
      </c>
      <c r="R991" s="753">
        <v>86316</v>
      </c>
      <c r="S991" s="753">
        <v>88906</v>
      </c>
      <c r="T991" s="753">
        <v>88906</v>
      </c>
      <c r="U991" s="753">
        <v>6597</v>
      </c>
      <c r="V991" s="751">
        <v>2019</v>
      </c>
      <c r="W991" s="222" t="s">
        <v>2666</v>
      </c>
      <c r="X991" s="186">
        <f t="shared" si="52"/>
        <v>13.47673184780961</v>
      </c>
      <c r="Y991" s="178" t="str">
        <f t="shared" si="50"/>
        <v/>
      </c>
      <c r="Z991" s="178" t="str">
        <f t="shared" si="51"/>
        <v/>
      </c>
      <c r="AA991" s="44"/>
      <c r="AB991" s="65"/>
    </row>
    <row r="992" spans="1:28" hidden="1">
      <c r="A992" s="751">
        <v>54593</v>
      </c>
      <c r="B992" s="752" t="s">
        <v>35</v>
      </c>
      <c r="C992" s="751" t="s">
        <v>2960</v>
      </c>
      <c r="D992" s="752" t="s">
        <v>1027</v>
      </c>
      <c r="E992" s="752" t="s">
        <v>1028</v>
      </c>
      <c r="F992" s="751">
        <v>16839</v>
      </c>
      <c r="G992" s="752" t="s">
        <v>59</v>
      </c>
      <c r="H992" s="752" t="s">
        <v>1244</v>
      </c>
      <c r="I992" s="752" t="s">
        <v>60</v>
      </c>
      <c r="J992" s="751">
        <v>22</v>
      </c>
      <c r="K992" s="751">
        <v>2</v>
      </c>
      <c r="L992" s="752" t="s">
        <v>54</v>
      </c>
      <c r="M992" s="752" t="s">
        <v>53</v>
      </c>
      <c r="N992" s="752" t="s">
        <v>48</v>
      </c>
      <c r="O992" s="752" t="s">
        <v>48</v>
      </c>
      <c r="P992" s="752" t="s">
        <v>49</v>
      </c>
      <c r="Q992" s="753">
        <v>1</v>
      </c>
      <c r="R992" s="753">
        <v>1</v>
      </c>
      <c r="S992" s="753">
        <v>6</v>
      </c>
      <c r="T992" s="753">
        <v>6</v>
      </c>
      <c r="U992" s="753">
        <v>0</v>
      </c>
      <c r="V992" s="751">
        <v>2019</v>
      </c>
      <c r="W992" s="222"/>
      <c r="X992" s="186" t="str">
        <f t="shared" si="52"/>
        <v/>
      </c>
      <c r="Y992" s="178" t="str">
        <f t="shared" si="50"/>
        <v/>
      </c>
      <c r="Z992" s="178" t="str">
        <f t="shared" si="51"/>
        <v/>
      </c>
      <c r="AA992" s="44"/>
      <c r="AB992" s="65"/>
    </row>
    <row r="993" spans="1:28" hidden="1">
      <c r="A993" s="751">
        <v>54605</v>
      </c>
      <c r="B993" s="752" t="s">
        <v>56</v>
      </c>
      <c r="C993" s="751" t="s">
        <v>2960</v>
      </c>
      <c r="D993" s="752" t="s">
        <v>1029</v>
      </c>
      <c r="E993" s="752" t="s">
        <v>1030</v>
      </c>
      <c r="F993" s="751">
        <v>21621</v>
      </c>
      <c r="G993" s="752" t="s">
        <v>43</v>
      </c>
      <c r="H993" s="752" t="s">
        <v>1245</v>
      </c>
      <c r="I993" s="752" t="s">
        <v>60</v>
      </c>
      <c r="J993" s="751">
        <v>336</v>
      </c>
      <c r="K993" s="751">
        <v>7</v>
      </c>
      <c r="L993" s="752" t="s">
        <v>419</v>
      </c>
      <c r="M993" s="752" t="s">
        <v>52</v>
      </c>
      <c r="N993" s="752" t="s">
        <v>48</v>
      </c>
      <c r="O993" s="752" t="s">
        <v>48</v>
      </c>
      <c r="P993" s="752" t="s">
        <v>49</v>
      </c>
      <c r="Q993" s="753">
        <v>534</v>
      </c>
      <c r="R993" s="753">
        <v>202</v>
      </c>
      <c r="S993" s="753">
        <v>3097</v>
      </c>
      <c r="T993" s="753">
        <v>1165</v>
      </c>
      <c r="U993" s="753">
        <v>245.85400000000001</v>
      </c>
      <c r="V993" s="751">
        <v>2019</v>
      </c>
      <c r="W993" s="222"/>
      <c r="X993" s="186" t="str">
        <f t="shared" si="52"/>
        <v/>
      </c>
      <c r="Y993" s="178" t="str">
        <f t="shared" si="50"/>
        <v/>
      </c>
      <c r="Z993" s="178">
        <f t="shared" si="51"/>
        <v>5.8319014386436523</v>
      </c>
      <c r="AA993" s="44"/>
      <c r="AB993" s="65"/>
    </row>
    <row r="994" spans="1:28" hidden="1">
      <c r="A994" s="751">
        <v>54605</v>
      </c>
      <c r="B994" s="752" t="s">
        <v>56</v>
      </c>
      <c r="C994" s="751" t="s">
        <v>2960</v>
      </c>
      <c r="D994" s="752" t="s">
        <v>1029</v>
      </c>
      <c r="E994" s="752" t="s">
        <v>1030</v>
      </c>
      <c r="F994" s="751">
        <v>21621</v>
      </c>
      <c r="G994" s="752" t="s">
        <v>43</v>
      </c>
      <c r="H994" s="752" t="s">
        <v>1245</v>
      </c>
      <c r="I994" s="752" t="s">
        <v>60</v>
      </c>
      <c r="J994" s="751">
        <v>336</v>
      </c>
      <c r="K994" s="751">
        <v>7</v>
      </c>
      <c r="L994" s="752" t="s">
        <v>419</v>
      </c>
      <c r="M994" s="752" t="s">
        <v>52</v>
      </c>
      <c r="N994" s="752" t="s">
        <v>68</v>
      </c>
      <c r="O994" s="752" t="s">
        <v>69</v>
      </c>
      <c r="P994" s="752" t="s">
        <v>49</v>
      </c>
      <c r="Q994" s="753">
        <v>0</v>
      </c>
      <c r="R994" s="753">
        <v>0</v>
      </c>
      <c r="S994" s="753">
        <v>0</v>
      </c>
      <c r="T994" s="753">
        <v>0</v>
      </c>
      <c r="U994" s="753">
        <v>0</v>
      </c>
      <c r="V994" s="751">
        <v>2019</v>
      </c>
      <c r="W994" s="222"/>
      <c r="X994" s="186" t="str">
        <f t="shared" si="52"/>
        <v/>
      </c>
      <c r="Y994" s="178" t="str">
        <f t="shared" si="50"/>
        <v/>
      </c>
      <c r="Z994" s="178" t="str">
        <f t="shared" si="51"/>
        <v/>
      </c>
      <c r="AA994" s="44"/>
      <c r="AB994" s="65"/>
    </row>
    <row r="995" spans="1:28" hidden="1">
      <c r="A995" s="751">
        <v>54605</v>
      </c>
      <c r="B995" s="752" t="s">
        <v>56</v>
      </c>
      <c r="C995" s="751" t="s">
        <v>2960</v>
      </c>
      <c r="D995" s="752" t="s">
        <v>1029</v>
      </c>
      <c r="E995" s="752" t="s">
        <v>1030</v>
      </c>
      <c r="F995" s="751">
        <v>21621</v>
      </c>
      <c r="G995" s="752" t="s">
        <v>43</v>
      </c>
      <c r="H995" s="752" t="s">
        <v>1245</v>
      </c>
      <c r="I995" s="752" t="s">
        <v>60</v>
      </c>
      <c r="J995" s="751">
        <v>336</v>
      </c>
      <c r="K995" s="751">
        <v>7</v>
      </c>
      <c r="L995" s="752" t="s">
        <v>419</v>
      </c>
      <c r="M995" s="752" t="s">
        <v>52</v>
      </c>
      <c r="N995" s="752" t="s">
        <v>41</v>
      </c>
      <c r="O995" s="752" t="s">
        <v>41</v>
      </c>
      <c r="P995" s="752" t="s">
        <v>1091</v>
      </c>
      <c r="Q995" s="753">
        <v>1179561</v>
      </c>
      <c r="R995" s="753">
        <v>468468</v>
      </c>
      <c r="S995" s="753">
        <v>1219665</v>
      </c>
      <c r="T995" s="753">
        <v>484395</v>
      </c>
      <c r="U995" s="753">
        <v>99263.145999999993</v>
      </c>
      <c r="V995" s="751">
        <v>2019</v>
      </c>
      <c r="W995" s="222"/>
      <c r="X995" s="186" t="str">
        <f t="shared" si="52"/>
        <v/>
      </c>
      <c r="Y995" s="86">
        <f t="shared" si="50"/>
        <v>5.6885132597169781</v>
      </c>
      <c r="Z995" s="86" t="str">
        <f t="shared" si="51"/>
        <v/>
      </c>
      <c r="AA995" s="44"/>
      <c r="AB995" s="65"/>
    </row>
    <row r="996" spans="1:28" hidden="1">
      <c r="A996" s="751">
        <v>54620</v>
      </c>
      <c r="B996" s="752" t="s">
        <v>35</v>
      </c>
      <c r="C996" s="751" t="s">
        <v>2960</v>
      </c>
      <c r="D996" s="752" t="s">
        <v>2026</v>
      </c>
      <c r="E996" s="752" t="s">
        <v>2026</v>
      </c>
      <c r="F996" s="751">
        <v>14995</v>
      </c>
      <c r="G996" s="752" t="s">
        <v>83</v>
      </c>
      <c r="H996" s="752" t="s">
        <v>1245</v>
      </c>
      <c r="I996" s="752" t="s">
        <v>60</v>
      </c>
      <c r="J996" s="751">
        <v>22</v>
      </c>
      <c r="K996" s="751">
        <v>2</v>
      </c>
      <c r="L996" s="752" t="s">
        <v>54</v>
      </c>
      <c r="M996" s="752" t="s">
        <v>44</v>
      </c>
      <c r="N996" s="752" t="s">
        <v>41</v>
      </c>
      <c r="O996" s="752" t="s">
        <v>41</v>
      </c>
      <c r="P996" s="752" t="s">
        <v>1091</v>
      </c>
      <c r="Q996" s="753">
        <v>180</v>
      </c>
      <c r="R996" s="753">
        <v>180</v>
      </c>
      <c r="S996" s="753">
        <v>183</v>
      </c>
      <c r="T996" s="753">
        <v>183</v>
      </c>
      <c r="U996" s="753">
        <v>9.2810000000000006</v>
      </c>
      <c r="V996" s="751">
        <v>2019</v>
      </c>
      <c r="W996" s="222"/>
      <c r="X996" s="186">
        <f t="shared" si="52"/>
        <v>19.717702833746362</v>
      </c>
      <c r="Y996" s="178" t="str">
        <f t="shared" si="50"/>
        <v/>
      </c>
      <c r="Z996" s="178" t="str">
        <f t="shared" si="51"/>
        <v/>
      </c>
      <c r="AA996" s="44"/>
      <c r="AB996" s="65"/>
    </row>
    <row r="997" spans="1:28" ht="25" hidden="1">
      <c r="A997" s="751">
        <v>54620</v>
      </c>
      <c r="B997" s="752" t="s">
        <v>35</v>
      </c>
      <c r="C997" s="751" t="s">
        <v>2960</v>
      </c>
      <c r="D997" s="752" t="s">
        <v>2026</v>
      </c>
      <c r="E997" s="752" t="s">
        <v>2026</v>
      </c>
      <c r="F997" s="751">
        <v>14995</v>
      </c>
      <c r="G997" s="752" t="s">
        <v>83</v>
      </c>
      <c r="H997" s="752" t="s">
        <v>1245</v>
      </c>
      <c r="I997" s="752" t="s">
        <v>60</v>
      </c>
      <c r="J997" s="751">
        <v>22</v>
      </c>
      <c r="K997" s="751">
        <v>2</v>
      </c>
      <c r="L997" s="752" t="s">
        <v>54</v>
      </c>
      <c r="M997" s="752" t="s">
        <v>44</v>
      </c>
      <c r="N997" s="752" t="s">
        <v>71</v>
      </c>
      <c r="O997" s="752" t="s">
        <v>72</v>
      </c>
      <c r="P997" s="752" t="s">
        <v>47</v>
      </c>
      <c r="Q997" s="753">
        <v>197081</v>
      </c>
      <c r="R997" s="753">
        <v>197081</v>
      </c>
      <c r="S997" s="753">
        <v>1818827</v>
      </c>
      <c r="T997" s="753">
        <v>1818827</v>
      </c>
      <c r="U997" s="753">
        <v>91648.718999999997</v>
      </c>
      <c r="V997" s="751">
        <v>2019</v>
      </c>
      <c r="W997" s="222"/>
      <c r="X997" s="186">
        <f t="shared" si="52"/>
        <v>19.845634721855742</v>
      </c>
      <c r="Y997" s="178" t="str">
        <f t="shared" si="50"/>
        <v/>
      </c>
      <c r="Z997" s="178" t="str">
        <f t="shared" si="51"/>
        <v/>
      </c>
      <c r="AA997" s="44"/>
      <c r="AB997" s="65"/>
    </row>
    <row r="998" spans="1:28" hidden="1">
      <c r="A998" s="751">
        <v>54639</v>
      </c>
      <c r="B998" s="752" t="s">
        <v>35</v>
      </c>
      <c r="C998" s="751" t="s">
        <v>2960</v>
      </c>
      <c r="D998" s="752" t="s">
        <v>1031</v>
      </c>
      <c r="E998" s="752" t="s">
        <v>23</v>
      </c>
      <c r="F998" s="751">
        <v>7595</v>
      </c>
      <c r="G998" s="752" t="s">
        <v>98</v>
      </c>
      <c r="H998" s="752" t="s">
        <v>1245</v>
      </c>
      <c r="I998" s="752" t="s">
        <v>60</v>
      </c>
      <c r="J998" s="751">
        <v>22</v>
      </c>
      <c r="K998" s="751">
        <v>2</v>
      </c>
      <c r="L998" s="752" t="s">
        <v>54</v>
      </c>
      <c r="M998" s="752" t="s">
        <v>37</v>
      </c>
      <c r="N998" s="752" t="s">
        <v>38</v>
      </c>
      <c r="O998" s="752" t="s">
        <v>39</v>
      </c>
      <c r="P998" s="752" t="s">
        <v>1238</v>
      </c>
      <c r="Q998" s="753">
        <v>0</v>
      </c>
      <c r="R998" s="753">
        <v>0</v>
      </c>
      <c r="S998" s="753">
        <v>1135715</v>
      </c>
      <c r="T998" s="753">
        <v>1135715</v>
      </c>
      <c r="U998" s="753">
        <v>127551</v>
      </c>
      <c r="V998" s="751">
        <v>2019</v>
      </c>
      <c r="W998" s="222"/>
      <c r="X998" s="186"/>
      <c r="Y998" s="178" t="str">
        <f t="shared" si="50"/>
        <v/>
      </c>
      <c r="Z998" s="178" t="str">
        <f t="shared" si="51"/>
        <v/>
      </c>
      <c r="AA998" s="44"/>
      <c r="AB998" s="65"/>
    </row>
    <row r="999" spans="1:28" hidden="1">
      <c r="A999" s="751">
        <v>54663</v>
      </c>
      <c r="B999" s="752" t="s">
        <v>35</v>
      </c>
      <c r="C999" s="751" t="s">
        <v>2960</v>
      </c>
      <c r="D999" s="752" t="s">
        <v>1032</v>
      </c>
      <c r="E999" s="752" t="s">
        <v>945</v>
      </c>
      <c r="F999" s="751">
        <v>54842</v>
      </c>
      <c r="G999" s="752" t="s">
        <v>98</v>
      </c>
      <c r="H999" s="752" t="s">
        <v>1245</v>
      </c>
      <c r="I999" s="752" t="s">
        <v>60</v>
      </c>
      <c r="J999" s="751">
        <v>22</v>
      </c>
      <c r="K999" s="751">
        <v>2</v>
      </c>
      <c r="L999" s="752" t="s">
        <v>54</v>
      </c>
      <c r="M999" s="752" t="s">
        <v>52</v>
      </c>
      <c r="N999" s="752" t="s">
        <v>65</v>
      </c>
      <c r="O999" s="752" t="s">
        <v>66</v>
      </c>
      <c r="P999" s="752" t="s">
        <v>1091</v>
      </c>
      <c r="Q999" s="753">
        <v>1164603</v>
      </c>
      <c r="R999" s="753">
        <v>1164603</v>
      </c>
      <c r="S999" s="753">
        <v>568326</v>
      </c>
      <c r="T999" s="753">
        <v>568326</v>
      </c>
      <c r="U999" s="753">
        <v>26349</v>
      </c>
      <c r="V999" s="751">
        <v>2019</v>
      </c>
      <c r="W999" s="222"/>
      <c r="X999" s="186"/>
      <c r="Y999" s="178" t="str">
        <f t="shared" si="50"/>
        <v/>
      </c>
      <c r="Z999" s="178" t="str">
        <f t="shared" si="51"/>
        <v/>
      </c>
      <c r="AA999" s="44"/>
      <c r="AB999" s="65"/>
    </row>
    <row r="1000" spans="1:28" hidden="1">
      <c r="A1000" s="751">
        <v>54663</v>
      </c>
      <c r="B1000" s="752" t="s">
        <v>35</v>
      </c>
      <c r="C1000" s="751" t="s">
        <v>2960</v>
      </c>
      <c r="D1000" s="752" t="s">
        <v>1032</v>
      </c>
      <c r="E1000" s="752" t="s">
        <v>945</v>
      </c>
      <c r="F1000" s="751">
        <v>54842</v>
      </c>
      <c r="G1000" s="752" t="s">
        <v>98</v>
      </c>
      <c r="H1000" s="752" t="s">
        <v>1245</v>
      </c>
      <c r="I1000" s="752" t="s">
        <v>60</v>
      </c>
      <c r="J1000" s="751">
        <v>22</v>
      </c>
      <c r="K1000" s="751">
        <v>2</v>
      </c>
      <c r="L1000" s="752" t="s">
        <v>54</v>
      </c>
      <c r="M1000" s="752" t="s">
        <v>53</v>
      </c>
      <c r="N1000" s="752" t="s">
        <v>65</v>
      </c>
      <c r="O1000" s="752" t="s">
        <v>66</v>
      </c>
      <c r="P1000" s="752" t="s">
        <v>1091</v>
      </c>
      <c r="Q1000" s="753">
        <v>177704</v>
      </c>
      <c r="R1000" s="753">
        <v>177704</v>
      </c>
      <c r="S1000" s="753">
        <v>93828</v>
      </c>
      <c r="T1000" s="753">
        <v>93828</v>
      </c>
      <c r="U1000" s="753">
        <v>7272</v>
      </c>
      <c r="V1000" s="751">
        <v>2019</v>
      </c>
      <c r="W1000" s="222"/>
      <c r="X1000" s="186">
        <f>IF(OR(K1000&gt;3,T1000=0,NOT(U1000&gt;0)),"",T1000/U1000)</f>
        <v>12.902640264026402</v>
      </c>
      <c r="Y1000" s="178" t="str">
        <f t="shared" si="50"/>
        <v/>
      </c>
      <c r="Z1000" s="178" t="str">
        <f t="shared" si="51"/>
        <v/>
      </c>
      <c r="AA1000" s="44"/>
      <c r="AB1000" s="65"/>
    </row>
    <row r="1001" spans="1:28" s="154" customFormat="1" hidden="1">
      <c r="A1001" s="751">
        <v>54691</v>
      </c>
      <c r="B1001" s="752" t="s">
        <v>35</v>
      </c>
      <c r="C1001" s="751" t="s">
        <v>2960</v>
      </c>
      <c r="D1001" s="752" t="s">
        <v>1668</v>
      </c>
      <c r="E1001" s="752" t="s">
        <v>1159</v>
      </c>
      <c r="F1001" s="751">
        <v>57280</v>
      </c>
      <c r="G1001" s="752" t="s">
        <v>59</v>
      </c>
      <c r="H1001" s="752" t="s">
        <v>1244</v>
      </c>
      <c r="I1001" s="752" t="s">
        <v>60</v>
      </c>
      <c r="J1001" s="751">
        <v>22</v>
      </c>
      <c r="K1001" s="751">
        <v>2</v>
      </c>
      <c r="L1001" s="752" t="s">
        <v>54</v>
      </c>
      <c r="M1001" s="752" t="s">
        <v>37</v>
      </c>
      <c r="N1001" s="752" t="s">
        <v>38</v>
      </c>
      <c r="O1001" s="752" t="s">
        <v>39</v>
      </c>
      <c r="P1001" s="752" t="s">
        <v>1238</v>
      </c>
      <c r="Q1001" s="753">
        <v>0</v>
      </c>
      <c r="R1001" s="753">
        <v>0</v>
      </c>
      <c r="S1001" s="753">
        <v>55606</v>
      </c>
      <c r="T1001" s="753">
        <v>55606</v>
      </c>
      <c r="U1001" s="753">
        <v>6245</v>
      </c>
      <c r="V1001" s="751">
        <v>2019</v>
      </c>
      <c r="W1001" s="222"/>
      <c r="X1001" s="186"/>
      <c r="Y1001" s="178" t="str">
        <f t="shared" si="50"/>
        <v/>
      </c>
      <c r="Z1001" s="178" t="str">
        <f t="shared" si="51"/>
        <v/>
      </c>
      <c r="AA1001" s="44"/>
      <c r="AB1001" s="179"/>
    </row>
    <row r="1002" spans="1:28" ht="25" hidden="1">
      <c r="A1002" s="751">
        <v>54758</v>
      </c>
      <c r="B1002" s="752" t="s">
        <v>35</v>
      </c>
      <c r="C1002" s="751" t="s">
        <v>2960</v>
      </c>
      <c r="D1002" s="752" t="s">
        <v>1033</v>
      </c>
      <c r="E1002" s="752" t="s">
        <v>94</v>
      </c>
      <c r="F1002" s="751">
        <v>20541</v>
      </c>
      <c r="G1002" s="752" t="s">
        <v>43</v>
      </c>
      <c r="H1002" s="752" t="s">
        <v>1245</v>
      </c>
      <c r="I1002" s="752" t="s">
        <v>60</v>
      </c>
      <c r="J1002" s="751">
        <v>22</v>
      </c>
      <c r="K1002" s="751">
        <v>2</v>
      </c>
      <c r="L1002" s="752" t="s">
        <v>54</v>
      </c>
      <c r="M1002" s="752" t="s">
        <v>44</v>
      </c>
      <c r="N1002" s="752" t="s">
        <v>18</v>
      </c>
      <c r="O1002" s="752" t="s">
        <v>66</v>
      </c>
      <c r="P1002" s="752" t="s">
        <v>47</v>
      </c>
      <c r="Q1002" s="753">
        <v>113099</v>
      </c>
      <c r="R1002" s="753">
        <v>113099</v>
      </c>
      <c r="S1002" s="753">
        <v>867717</v>
      </c>
      <c r="T1002" s="753">
        <v>867717</v>
      </c>
      <c r="U1002" s="753">
        <v>45340.983</v>
      </c>
      <c r="V1002" s="751">
        <v>2019</v>
      </c>
      <c r="W1002" s="222"/>
      <c r="X1002" s="186"/>
      <c r="Y1002" s="178" t="str">
        <f t="shared" si="50"/>
        <v/>
      </c>
      <c r="Z1002" s="178" t="str">
        <f t="shared" si="51"/>
        <v/>
      </c>
      <c r="AA1002" s="44"/>
      <c r="AB1002" s="65"/>
    </row>
    <row r="1003" spans="1:28" ht="25" hidden="1">
      <c r="A1003" s="751">
        <v>54758</v>
      </c>
      <c r="B1003" s="752" t="s">
        <v>35</v>
      </c>
      <c r="C1003" s="751" t="s">
        <v>2960</v>
      </c>
      <c r="D1003" s="752" t="s">
        <v>1033</v>
      </c>
      <c r="E1003" s="752" t="s">
        <v>94</v>
      </c>
      <c r="F1003" s="751">
        <v>20541</v>
      </c>
      <c r="G1003" s="752" t="s">
        <v>43</v>
      </c>
      <c r="H1003" s="752" t="s">
        <v>1245</v>
      </c>
      <c r="I1003" s="752" t="s">
        <v>60</v>
      </c>
      <c r="J1003" s="751">
        <v>22</v>
      </c>
      <c r="K1003" s="751">
        <v>2</v>
      </c>
      <c r="L1003" s="752" t="s">
        <v>54</v>
      </c>
      <c r="M1003" s="752" t="s">
        <v>44</v>
      </c>
      <c r="N1003" s="752" t="s">
        <v>19</v>
      </c>
      <c r="O1003" s="752" t="s">
        <v>84</v>
      </c>
      <c r="P1003" s="752" t="s">
        <v>47</v>
      </c>
      <c r="Q1003" s="753">
        <v>72307</v>
      </c>
      <c r="R1003" s="753">
        <v>72307</v>
      </c>
      <c r="S1003" s="753">
        <v>1060509</v>
      </c>
      <c r="T1003" s="753">
        <v>1060509</v>
      </c>
      <c r="U1003" s="753">
        <v>55415.017</v>
      </c>
      <c r="V1003" s="751">
        <v>2019</v>
      </c>
      <c r="W1003" s="222"/>
      <c r="X1003" s="186">
        <f>IF(OR(K1003&gt;3,T1003=0,NOT(U1003&gt;0)),"",T1003/U1003)</f>
        <v>19.137574206645105</v>
      </c>
      <c r="Y1003" s="178" t="str">
        <f t="shared" si="50"/>
        <v/>
      </c>
      <c r="Z1003" s="178" t="str">
        <f t="shared" si="51"/>
        <v/>
      </c>
      <c r="AA1003" s="44"/>
      <c r="AB1003" s="65"/>
    </row>
    <row r="1004" spans="1:28" ht="25" hidden="1">
      <c r="A1004" s="751">
        <v>54769</v>
      </c>
      <c r="B1004" s="752" t="s">
        <v>56</v>
      </c>
      <c r="C1004" s="751" t="s">
        <v>2960</v>
      </c>
      <c r="D1004" s="752" t="s">
        <v>2027</v>
      </c>
      <c r="E1004" s="752" t="s">
        <v>2028</v>
      </c>
      <c r="F1004" s="751">
        <v>11329</v>
      </c>
      <c r="G1004" s="752" t="s">
        <v>59</v>
      </c>
      <c r="H1004" s="752" t="s">
        <v>1244</v>
      </c>
      <c r="I1004" s="752" t="s">
        <v>60</v>
      </c>
      <c r="J1004" s="751">
        <v>622</v>
      </c>
      <c r="K1004" s="751">
        <v>5</v>
      </c>
      <c r="L1004" s="752" t="s">
        <v>423</v>
      </c>
      <c r="M1004" s="752" t="s">
        <v>53</v>
      </c>
      <c r="N1004" s="752" t="s">
        <v>48</v>
      </c>
      <c r="O1004" s="752" t="s">
        <v>48</v>
      </c>
      <c r="P1004" s="752" t="s">
        <v>49</v>
      </c>
      <c r="Q1004" s="753">
        <v>71</v>
      </c>
      <c r="R1004" s="753">
        <v>17</v>
      </c>
      <c r="S1004" s="753">
        <v>392</v>
      </c>
      <c r="T1004" s="753">
        <v>89</v>
      </c>
      <c r="U1004" s="753">
        <v>18</v>
      </c>
      <c r="V1004" s="751">
        <v>2019</v>
      </c>
      <c r="W1004" s="222"/>
      <c r="X1004" s="186" t="str">
        <f>IF(OR(K1004&gt;3,T1004=0,NOT(U1004&gt;0)),"",T1004/U1004)</f>
        <v/>
      </c>
      <c r="Y1004" s="178" t="str">
        <f t="shared" si="50"/>
        <v/>
      </c>
      <c r="Z1004" s="178" t="str">
        <f t="shared" si="51"/>
        <v/>
      </c>
      <c r="AA1004" s="44"/>
      <c r="AB1004" s="65"/>
    </row>
    <row r="1005" spans="1:28" ht="25" hidden="1">
      <c r="A1005" s="751">
        <v>54769</v>
      </c>
      <c r="B1005" s="752" t="s">
        <v>56</v>
      </c>
      <c r="C1005" s="751" t="s">
        <v>2960</v>
      </c>
      <c r="D1005" s="752" t="s">
        <v>2027</v>
      </c>
      <c r="E1005" s="752" t="s">
        <v>2028</v>
      </c>
      <c r="F1005" s="751">
        <v>11329</v>
      </c>
      <c r="G1005" s="752" t="s">
        <v>59</v>
      </c>
      <c r="H1005" s="752" t="s">
        <v>1244</v>
      </c>
      <c r="I1005" s="752" t="s">
        <v>60</v>
      </c>
      <c r="J1005" s="751">
        <v>622</v>
      </c>
      <c r="K1005" s="751">
        <v>5</v>
      </c>
      <c r="L1005" s="752" t="s">
        <v>423</v>
      </c>
      <c r="M1005" s="752" t="s">
        <v>53</v>
      </c>
      <c r="N1005" s="752" t="s">
        <v>41</v>
      </c>
      <c r="O1005" s="752" t="s">
        <v>41</v>
      </c>
      <c r="P1005" s="752" t="s">
        <v>1091</v>
      </c>
      <c r="Q1005" s="753">
        <v>0</v>
      </c>
      <c r="R1005" s="753">
        <v>0</v>
      </c>
      <c r="S1005" s="753">
        <v>0</v>
      </c>
      <c r="T1005" s="753">
        <v>0</v>
      </c>
      <c r="U1005" s="753">
        <v>0</v>
      </c>
      <c r="V1005" s="751">
        <v>2019</v>
      </c>
      <c r="W1005" s="222"/>
      <c r="X1005" s="186" t="str">
        <f>IF(OR(K1005&gt;3,T1005=0,NOT(U1005&gt;0)),"",T1005/U1005)</f>
        <v/>
      </c>
      <c r="Y1005" s="178" t="str">
        <f t="shared" si="50"/>
        <v/>
      </c>
      <c r="Z1005" s="178" t="str">
        <f t="shared" si="51"/>
        <v/>
      </c>
      <c r="AA1005" s="44"/>
      <c r="AB1005" s="65"/>
    </row>
    <row r="1006" spans="1:28" hidden="1">
      <c r="A1006" s="751">
        <v>54772</v>
      </c>
      <c r="B1006" s="752" t="s">
        <v>35</v>
      </c>
      <c r="C1006" s="751" t="s">
        <v>2960</v>
      </c>
      <c r="D1006" s="752" t="s">
        <v>1034</v>
      </c>
      <c r="E1006" s="752" t="s">
        <v>815</v>
      </c>
      <c r="F1006" s="751">
        <v>55754</v>
      </c>
      <c r="G1006" s="752" t="s">
        <v>59</v>
      </c>
      <c r="H1006" s="752" t="s">
        <v>1244</v>
      </c>
      <c r="I1006" s="752" t="s">
        <v>60</v>
      </c>
      <c r="J1006" s="751">
        <v>22</v>
      </c>
      <c r="K1006" s="751">
        <v>2</v>
      </c>
      <c r="L1006" s="752" t="s">
        <v>54</v>
      </c>
      <c r="M1006" s="752" t="s">
        <v>37</v>
      </c>
      <c r="N1006" s="752" t="s">
        <v>38</v>
      </c>
      <c r="O1006" s="752" t="s">
        <v>39</v>
      </c>
      <c r="P1006" s="752" t="s">
        <v>1238</v>
      </c>
      <c r="Q1006" s="753">
        <v>0</v>
      </c>
      <c r="R1006" s="753">
        <v>0</v>
      </c>
      <c r="S1006" s="753">
        <v>869706</v>
      </c>
      <c r="T1006" s="753">
        <v>869706</v>
      </c>
      <c r="U1006" s="753">
        <v>97676</v>
      </c>
      <c r="V1006" s="751">
        <v>2019</v>
      </c>
      <c r="W1006" s="222"/>
      <c r="X1006" s="186"/>
      <c r="Y1006" s="178" t="str">
        <f t="shared" si="50"/>
        <v/>
      </c>
      <c r="Z1006" s="178" t="str">
        <f t="shared" si="51"/>
        <v/>
      </c>
      <c r="AA1006" s="44"/>
      <c r="AB1006" s="65"/>
    </row>
    <row r="1007" spans="1:28" hidden="1">
      <c r="A1007" s="751">
        <v>54782</v>
      </c>
      <c r="B1007" s="752" t="s">
        <v>35</v>
      </c>
      <c r="C1007" s="751" t="s">
        <v>2960</v>
      </c>
      <c r="D1007" s="752" t="s">
        <v>1035</v>
      </c>
      <c r="E1007" s="752" t="s">
        <v>1036</v>
      </c>
      <c r="F1007" s="751">
        <v>17283</v>
      </c>
      <c r="G1007" s="752" t="s">
        <v>59</v>
      </c>
      <c r="H1007" s="752" t="s">
        <v>1244</v>
      </c>
      <c r="I1007" s="752" t="s">
        <v>60</v>
      </c>
      <c r="J1007" s="751">
        <v>22</v>
      </c>
      <c r="K1007" s="751">
        <v>2</v>
      </c>
      <c r="L1007" s="752" t="s">
        <v>54</v>
      </c>
      <c r="M1007" s="752" t="s">
        <v>53</v>
      </c>
      <c r="N1007" s="752" t="s">
        <v>65</v>
      </c>
      <c r="O1007" s="752" t="s">
        <v>66</v>
      </c>
      <c r="P1007" s="752" t="s">
        <v>1091</v>
      </c>
      <c r="Q1007" s="753">
        <v>2589478</v>
      </c>
      <c r="R1007" s="753">
        <v>2589478</v>
      </c>
      <c r="S1007" s="753">
        <v>1265544</v>
      </c>
      <c r="T1007" s="753">
        <v>1265544</v>
      </c>
      <c r="U1007" s="753">
        <v>103400</v>
      </c>
      <c r="V1007" s="751">
        <v>2019</v>
      </c>
      <c r="W1007" s="222"/>
      <c r="X1007" s="186">
        <f t="shared" ref="X1007:X1018" si="53">IF(OR(K1007&gt;3,T1007=0,NOT(U1007&gt;0)),"",T1007/U1007)</f>
        <v>12.239303675048356</v>
      </c>
      <c r="Y1007" s="178" t="str">
        <f t="shared" si="50"/>
        <v/>
      </c>
      <c r="Z1007" s="178" t="str">
        <f t="shared" si="51"/>
        <v/>
      </c>
      <c r="AA1007" s="44"/>
      <c r="AB1007" s="65"/>
    </row>
    <row r="1008" spans="1:28" ht="25" hidden="1">
      <c r="A1008" s="751">
        <v>54803</v>
      </c>
      <c r="B1008" s="752" t="s">
        <v>56</v>
      </c>
      <c r="C1008" s="751" t="s">
        <v>2960</v>
      </c>
      <c r="D1008" s="752" t="s">
        <v>1037</v>
      </c>
      <c r="E1008" s="752" t="s">
        <v>1669</v>
      </c>
      <c r="F1008" s="751">
        <v>59190</v>
      </c>
      <c r="G1008" s="752" t="s">
        <v>98</v>
      </c>
      <c r="H1008" s="752" t="s">
        <v>1245</v>
      </c>
      <c r="I1008" s="752" t="s">
        <v>60</v>
      </c>
      <c r="J1008" s="751">
        <v>611</v>
      </c>
      <c r="K1008" s="751">
        <v>5</v>
      </c>
      <c r="L1008" s="752" t="s">
        <v>423</v>
      </c>
      <c r="M1008" s="752" t="s">
        <v>53</v>
      </c>
      <c r="N1008" s="752" t="s">
        <v>48</v>
      </c>
      <c r="O1008" s="752" t="s">
        <v>48</v>
      </c>
      <c r="P1008" s="752" t="s">
        <v>49</v>
      </c>
      <c r="Q1008" s="753">
        <v>0</v>
      </c>
      <c r="R1008" s="753">
        <v>0</v>
      </c>
      <c r="S1008" s="753">
        <v>0</v>
      </c>
      <c r="T1008" s="753">
        <v>0</v>
      </c>
      <c r="U1008" s="753">
        <v>0</v>
      </c>
      <c r="V1008" s="751">
        <v>2019</v>
      </c>
      <c r="W1008" s="222"/>
      <c r="X1008" s="186" t="str">
        <f t="shared" si="53"/>
        <v/>
      </c>
      <c r="Y1008" s="178" t="str">
        <f t="shared" si="50"/>
        <v/>
      </c>
      <c r="Z1008" s="178" t="str">
        <f t="shared" si="51"/>
        <v/>
      </c>
      <c r="AA1008" s="44"/>
      <c r="AB1008" s="65"/>
    </row>
    <row r="1009" spans="1:28" ht="25" hidden="1">
      <c r="A1009" s="751">
        <v>54803</v>
      </c>
      <c r="B1009" s="752" t="s">
        <v>56</v>
      </c>
      <c r="C1009" s="751" t="s">
        <v>2960</v>
      </c>
      <c r="D1009" s="752" t="s">
        <v>1037</v>
      </c>
      <c r="E1009" s="752" t="s">
        <v>1669</v>
      </c>
      <c r="F1009" s="751">
        <v>59190</v>
      </c>
      <c r="G1009" s="752" t="s">
        <v>98</v>
      </c>
      <c r="H1009" s="752" t="s">
        <v>1245</v>
      </c>
      <c r="I1009" s="752" t="s">
        <v>60</v>
      </c>
      <c r="J1009" s="751">
        <v>611</v>
      </c>
      <c r="K1009" s="751">
        <v>5</v>
      </c>
      <c r="L1009" s="752" t="s">
        <v>423</v>
      </c>
      <c r="M1009" s="752" t="s">
        <v>53</v>
      </c>
      <c r="N1009" s="752" t="s">
        <v>63</v>
      </c>
      <c r="O1009" s="752" t="s">
        <v>63</v>
      </c>
      <c r="P1009" s="752" t="s">
        <v>49</v>
      </c>
      <c r="Q1009" s="753">
        <v>0</v>
      </c>
      <c r="R1009" s="753">
        <v>0</v>
      </c>
      <c r="S1009" s="753">
        <v>0</v>
      </c>
      <c r="T1009" s="753">
        <v>0</v>
      </c>
      <c r="U1009" s="753">
        <v>0</v>
      </c>
      <c r="V1009" s="751">
        <v>2019</v>
      </c>
      <c r="W1009" s="222"/>
      <c r="X1009" s="186" t="str">
        <f t="shared" si="53"/>
        <v/>
      </c>
      <c r="Y1009" s="178" t="str">
        <f t="shared" si="50"/>
        <v/>
      </c>
      <c r="Z1009" s="178" t="str">
        <f t="shared" si="51"/>
        <v/>
      </c>
      <c r="AA1009" s="44"/>
      <c r="AB1009" s="65"/>
    </row>
    <row r="1010" spans="1:28" hidden="1">
      <c r="A1010" s="751">
        <v>54805</v>
      </c>
      <c r="B1010" s="752" t="s">
        <v>35</v>
      </c>
      <c r="C1010" s="751" t="s">
        <v>2960</v>
      </c>
      <c r="D1010" s="752" t="s">
        <v>1038</v>
      </c>
      <c r="E1010" s="752" t="s">
        <v>2463</v>
      </c>
      <c r="F1010" s="751">
        <v>12469</v>
      </c>
      <c r="G1010" s="752" t="s">
        <v>83</v>
      </c>
      <c r="H1010" s="752" t="s">
        <v>1245</v>
      </c>
      <c r="I1010" s="752" t="s">
        <v>60</v>
      </c>
      <c r="J1010" s="751">
        <v>22</v>
      </c>
      <c r="K1010" s="751">
        <v>2</v>
      </c>
      <c r="L1010" s="752" t="s">
        <v>54</v>
      </c>
      <c r="M1010" s="752" t="s">
        <v>40</v>
      </c>
      <c r="N1010" s="752" t="s">
        <v>41</v>
      </c>
      <c r="O1010" s="752" t="s">
        <v>41</v>
      </c>
      <c r="P1010" s="752" t="s">
        <v>1091</v>
      </c>
      <c r="Q1010" s="753">
        <v>49823</v>
      </c>
      <c r="R1010" s="753">
        <v>49823</v>
      </c>
      <c r="S1010" s="753">
        <v>51173</v>
      </c>
      <c r="T1010" s="753">
        <v>51173</v>
      </c>
      <c r="U1010" s="753">
        <v>67584</v>
      </c>
      <c r="V1010" s="751">
        <v>2019</v>
      </c>
      <c r="W1010" s="222" t="s">
        <v>2666</v>
      </c>
      <c r="X1010" s="186">
        <f t="shared" si="53"/>
        <v>0.75717625473484851</v>
      </c>
      <c r="Y1010" s="178" t="str">
        <f t="shared" si="50"/>
        <v/>
      </c>
      <c r="Z1010" s="178" t="str">
        <f t="shared" si="51"/>
        <v/>
      </c>
      <c r="AA1010" s="44"/>
      <c r="AB1010" s="65"/>
    </row>
    <row r="1011" spans="1:28" hidden="1">
      <c r="A1011" s="751">
        <v>54805</v>
      </c>
      <c r="B1011" s="752" t="s">
        <v>35</v>
      </c>
      <c r="C1011" s="751" t="s">
        <v>2960</v>
      </c>
      <c r="D1011" s="752" t="s">
        <v>1038</v>
      </c>
      <c r="E1011" s="752" t="s">
        <v>2463</v>
      </c>
      <c r="F1011" s="751">
        <v>12469</v>
      </c>
      <c r="G1011" s="752" t="s">
        <v>83</v>
      </c>
      <c r="H1011" s="752" t="s">
        <v>1245</v>
      </c>
      <c r="I1011" s="752" t="s">
        <v>60</v>
      </c>
      <c r="J1011" s="751">
        <v>22</v>
      </c>
      <c r="K1011" s="751">
        <v>2</v>
      </c>
      <c r="L1011" s="752" t="s">
        <v>54</v>
      </c>
      <c r="M1011" s="752" t="s">
        <v>43</v>
      </c>
      <c r="N1011" s="752" t="s">
        <v>41</v>
      </c>
      <c r="O1011" s="752" t="s">
        <v>41</v>
      </c>
      <c r="P1011" s="752" t="s">
        <v>1091</v>
      </c>
      <c r="Q1011" s="753">
        <v>1770256</v>
      </c>
      <c r="R1011" s="753">
        <v>1770256</v>
      </c>
      <c r="S1011" s="753">
        <v>1818008</v>
      </c>
      <c r="T1011" s="753">
        <v>1818008</v>
      </c>
      <c r="U1011" s="753">
        <v>144488</v>
      </c>
      <c r="V1011" s="751">
        <v>2019</v>
      </c>
      <c r="W1011" s="222" t="s">
        <v>2666</v>
      </c>
      <c r="X1011" s="186">
        <f t="shared" si="53"/>
        <v>12.582415148662864</v>
      </c>
      <c r="Y1011" s="178" t="str">
        <f t="shared" si="50"/>
        <v/>
      </c>
      <c r="Z1011" s="178" t="str">
        <f t="shared" si="51"/>
        <v/>
      </c>
      <c r="AA1011" s="44"/>
      <c r="AB1011" s="65"/>
    </row>
    <row r="1012" spans="1:28" s="154" customFormat="1" ht="25" hidden="1">
      <c r="A1012" s="751">
        <v>54808</v>
      </c>
      <c r="B1012" s="752" t="s">
        <v>56</v>
      </c>
      <c r="C1012" s="751" t="s">
        <v>2960</v>
      </c>
      <c r="D1012" s="752" t="s">
        <v>444</v>
      </c>
      <c r="E1012" s="752" t="s">
        <v>445</v>
      </c>
      <c r="F1012" s="751">
        <v>13491</v>
      </c>
      <c r="G1012" s="752" t="s">
        <v>59</v>
      </c>
      <c r="H1012" s="752" t="s">
        <v>1244</v>
      </c>
      <c r="I1012" s="752" t="s">
        <v>60</v>
      </c>
      <c r="J1012" s="751">
        <v>611</v>
      </c>
      <c r="K1012" s="751">
        <v>5</v>
      </c>
      <c r="L1012" s="752" t="s">
        <v>423</v>
      </c>
      <c r="M1012" s="752" t="s">
        <v>40</v>
      </c>
      <c r="N1012" s="752" t="s">
        <v>48</v>
      </c>
      <c r="O1012" s="752" t="s">
        <v>48</v>
      </c>
      <c r="P1012" s="752" t="s">
        <v>49</v>
      </c>
      <c r="Q1012" s="753">
        <v>0</v>
      </c>
      <c r="R1012" s="753">
        <v>0</v>
      </c>
      <c r="S1012" s="753">
        <v>0</v>
      </c>
      <c r="T1012" s="753">
        <v>0</v>
      </c>
      <c r="U1012" s="753">
        <v>126.70399999999999</v>
      </c>
      <c r="V1012" s="751">
        <v>2019</v>
      </c>
      <c r="W1012" s="222"/>
      <c r="X1012" s="186" t="str">
        <f t="shared" si="53"/>
        <v/>
      </c>
      <c r="Y1012" s="178" t="str">
        <f t="shared" si="50"/>
        <v/>
      </c>
      <c r="Z1012" s="178" t="str">
        <f t="shared" si="51"/>
        <v/>
      </c>
      <c r="AA1012" s="44"/>
      <c r="AB1012" s="179"/>
    </row>
    <row r="1013" spans="1:28" ht="25" hidden="1">
      <c r="A1013" s="751">
        <v>54808</v>
      </c>
      <c r="B1013" s="752" t="s">
        <v>56</v>
      </c>
      <c r="C1013" s="751" t="s">
        <v>2960</v>
      </c>
      <c r="D1013" s="752" t="s">
        <v>444</v>
      </c>
      <c r="E1013" s="752" t="s">
        <v>445</v>
      </c>
      <c r="F1013" s="751">
        <v>13491</v>
      </c>
      <c r="G1013" s="752" t="s">
        <v>59</v>
      </c>
      <c r="H1013" s="752" t="s">
        <v>1244</v>
      </c>
      <c r="I1013" s="752" t="s">
        <v>60</v>
      </c>
      <c r="J1013" s="751">
        <v>611</v>
      </c>
      <c r="K1013" s="751">
        <v>5</v>
      </c>
      <c r="L1013" s="752" t="s">
        <v>423</v>
      </c>
      <c r="M1013" s="752" t="s">
        <v>40</v>
      </c>
      <c r="N1013" s="752" t="s">
        <v>41</v>
      </c>
      <c r="O1013" s="752" t="s">
        <v>41</v>
      </c>
      <c r="P1013" s="752" t="s">
        <v>1091</v>
      </c>
      <c r="Q1013" s="753">
        <v>0</v>
      </c>
      <c r="R1013" s="753">
        <v>0</v>
      </c>
      <c r="S1013" s="753">
        <v>0</v>
      </c>
      <c r="T1013" s="753">
        <v>0</v>
      </c>
      <c r="U1013" s="753">
        <v>7438.2960000000003</v>
      </c>
      <c r="V1013" s="751">
        <v>2019</v>
      </c>
      <c r="W1013" s="222"/>
      <c r="X1013" s="186" t="str">
        <f t="shared" si="53"/>
        <v/>
      </c>
      <c r="Y1013" s="178" t="str">
        <f t="shared" si="50"/>
        <v/>
      </c>
      <c r="Z1013" s="178" t="str">
        <f t="shared" si="51"/>
        <v/>
      </c>
      <c r="AA1013" s="44"/>
      <c r="AB1013" s="65"/>
    </row>
    <row r="1014" spans="1:28" ht="25" hidden="1">
      <c r="A1014" s="751">
        <v>54808</v>
      </c>
      <c r="B1014" s="752" t="s">
        <v>56</v>
      </c>
      <c r="C1014" s="751" t="s">
        <v>2960</v>
      </c>
      <c r="D1014" s="752" t="s">
        <v>444</v>
      </c>
      <c r="E1014" s="752" t="s">
        <v>445</v>
      </c>
      <c r="F1014" s="751">
        <v>13491</v>
      </c>
      <c r="G1014" s="752" t="s">
        <v>59</v>
      </c>
      <c r="H1014" s="752" t="s">
        <v>1244</v>
      </c>
      <c r="I1014" s="752" t="s">
        <v>60</v>
      </c>
      <c r="J1014" s="751">
        <v>611</v>
      </c>
      <c r="K1014" s="751">
        <v>5</v>
      </c>
      <c r="L1014" s="752" t="s">
        <v>423</v>
      </c>
      <c r="M1014" s="752" t="s">
        <v>43</v>
      </c>
      <c r="N1014" s="752" t="s">
        <v>48</v>
      </c>
      <c r="O1014" s="752" t="s">
        <v>48</v>
      </c>
      <c r="P1014" s="752" t="s">
        <v>49</v>
      </c>
      <c r="Q1014" s="753">
        <v>2646</v>
      </c>
      <c r="R1014" s="753">
        <v>2646</v>
      </c>
      <c r="S1014" s="753">
        <v>15665</v>
      </c>
      <c r="T1014" s="753">
        <v>15665</v>
      </c>
      <c r="U1014" s="753">
        <v>1427.36</v>
      </c>
      <c r="V1014" s="751">
        <v>2019</v>
      </c>
      <c r="W1014" s="222"/>
      <c r="X1014" s="186" t="str">
        <f t="shared" si="53"/>
        <v/>
      </c>
      <c r="Y1014" s="178" t="str">
        <f t="shared" si="50"/>
        <v/>
      </c>
      <c r="Z1014" s="178" t="str">
        <f t="shared" si="51"/>
        <v/>
      </c>
      <c r="AA1014" s="44"/>
      <c r="AB1014" s="65"/>
    </row>
    <row r="1015" spans="1:28" ht="25" hidden="1">
      <c r="A1015" s="751">
        <v>54808</v>
      </c>
      <c r="B1015" s="752" t="s">
        <v>56</v>
      </c>
      <c r="C1015" s="751" t="s">
        <v>2960</v>
      </c>
      <c r="D1015" s="752" t="s">
        <v>444</v>
      </c>
      <c r="E1015" s="752" t="s">
        <v>445</v>
      </c>
      <c r="F1015" s="751">
        <v>13491</v>
      </c>
      <c r="G1015" s="752" t="s">
        <v>59</v>
      </c>
      <c r="H1015" s="752" t="s">
        <v>1244</v>
      </c>
      <c r="I1015" s="752" t="s">
        <v>60</v>
      </c>
      <c r="J1015" s="751">
        <v>611</v>
      </c>
      <c r="K1015" s="751">
        <v>5</v>
      </c>
      <c r="L1015" s="752" t="s">
        <v>423</v>
      </c>
      <c r="M1015" s="752" t="s">
        <v>43</v>
      </c>
      <c r="N1015" s="752" t="s">
        <v>41</v>
      </c>
      <c r="O1015" s="752" t="s">
        <v>41</v>
      </c>
      <c r="P1015" s="752" t="s">
        <v>1091</v>
      </c>
      <c r="Q1015" s="753">
        <v>1061882</v>
      </c>
      <c r="R1015" s="753">
        <v>1061882</v>
      </c>
      <c r="S1015" s="753">
        <v>919590</v>
      </c>
      <c r="T1015" s="753">
        <v>919590</v>
      </c>
      <c r="U1015" s="753">
        <v>83794.64</v>
      </c>
      <c r="V1015" s="751">
        <v>2019</v>
      </c>
      <c r="W1015" s="222"/>
      <c r="X1015" s="186" t="str">
        <f t="shared" si="53"/>
        <v/>
      </c>
      <c r="Y1015" s="86" t="str">
        <f t="shared" si="50"/>
        <v/>
      </c>
      <c r="Z1015" s="86" t="str">
        <f t="shared" si="51"/>
        <v/>
      </c>
      <c r="AA1015" s="44"/>
      <c r="AB1015" s="65"/>
    </row>
    <row r="1016" spans="1:28" ht="25" hidden="1">
      <c r="A1016" s="751">
        <v>54808</v>
      </c>
      <c r="B1016" s="752" t="s">
        <v>56</v>
      </c>
      <c r="C1016" s="751" t="s">
        <v>2960</v>
      </c>
      <c r="D1016" s="752" t="s">
        <v>444</v>
      </c>
      <c r="E1016" s="752" t="s">
        <v>445</v>
      </c>
      <c r="F1016" s="751">
        <v>13491</v>
      </c>
      <c r="G1016" s="752" t="s">
        <v>59</v>
      </c>
      <c r="H1016" s="752" t="s">
        <v>1244</v>
      </c>
      <c r="I1016" s="752" t="s">
        <v>60</v>
      </c>
      <c r="J1016" s="751">
        <v>611</v>
      </c>
      <c r="K1016" s="751">
        <v>5</v>
      </c>
      <c r="L1016" s="752" t="s">
        <v>423</v>
      </c>
      <c r="M1016" s="752" t="s">
        <v>43</v>
      </c>
      <c r="N1016" s="752" t="s">
        <v>63</v>
      </c>
      <c r="O1016" s="752" t="s">
        <v>63</v>
      </c>
      <c r="P1016" s="752" t="s">
        <v>49</v>
      </c>
      <c r="Q1016" s="753">
        <v>0</v>
      </c>
      <c r="R1016" s="753">
        <v>0</v>
      </c>
      <c r="S1016" s="753">
        <v>0</v>
      </c>
      <c r="T1016" s="753">
        <v>0</v>
      </c>
      <c r="U1016" s="753">
        <v>0</v>
      </c>
      <c r="V1016" s="751">
        <v>2019</v>
      </c>
      <c r="W1016" s="222"/>
      <c r="X1016" s="186" t="str">
        <f t="shared" si="53"/>
        <v/>
      </c>
      <c r="Y1016" s="86" t="str">
        <f t="shared" si="50"/>
        <v/>
      </c>
      <c r="Z1016" s="86" t="str">
        <f t="shared" si="51"/>
        <v/>
      </c>
      <c r="AA1016" s="44"/>
      <c r="AB1016" s="65"/>
    </row>
    <row r="1017" spans="1:28" ht="25" hidden="1">
      <c r="A1017" s="751">
        <v>54808</v>
      </c>
      <c r="B1017" s="752" t="s">
        <v>56</v>
      </c>
      <c r="C1017" s="751" t="s">
        <v>2960</v>
      </c>
      <c r="D1017" s="752" t="s">
        <v>444</v>
      </c>
      <c r="E1017" s="752" t="s">
        <v>445</v>
      </c>
      <c r="F1017" s="751">
        <v>13491</v>
      </c>
      <c r="G1017" s="752" t="s">
        <v>59</v>
      </c>
      <c r="H1017" s="752" t="s">
        <v>1244</v>
      </c>
      <c r="I1017" s="752" t="s">
        <v>60</v>
      </c>
      <c r="J1017" s="751">
        <v>611</v>
      </c>
      <c r="K1017" s="751">
        <v>5</v>
      </c>
      <c r="L1017" s="752" t="s">
        <v>423</v>
      </c>
      <c r="M1017" s="752" t="s">
        <v>53</v>
      </c>
      <c r="N1017" s="752" t="s">
        <v>48</v>
      </c>
      <c r="O1017" s="752" t="s">
        <v>48</v>
      </c>
      <c r="P1017" s="752" t="s">
        <v>49</v>
      </c>
      <c r="Q1017" s="753">
        <v>0</v>
      </c>
      <c r="R1017" s="753">
        <v>0</v>
      </c>
      <c r="S1017" s="753">
        <v>0</v>
      </c>
      <c r="T1017" s="753">
        <v>0</v>
      </c>
      <c r="U1017" s="753">
        <v>0</v>
      </c>
      <c r="V1017" s="751">
        <v>2019</v>
      </c>
      <c r="W1017" s="222"/>
      <c r="X1017" s="186" t="str">
        <f t="shared" si="53"/>
        <v/>
      </c>
      <c r="Y1017" s="86" t="str">
        <f t="shared" si="50"/>
        <v/>
      </c>
      <c r="Z1017" s="86" t="str">
        <f t="shared" si="51"/>
        <v/>
      </c>
      <c r="AA1017" s="44"/>
      <c r="AB1017" s="65"/>
    </row>
    <row r="1018" spans="1:28" ht="25" hidden="1">
      <c r="A1018" s="751">
        <v>54863</v>
      </c>
      <c r="B1018" s="752" t="s">
        <v>35</v>
      </c>
      <c r="C1018" s="751" t="s">
        <v>2960</v>
      </c>
      <c r="D1018" s="752" t="s">
        <v>1261</v>
      </c>
      <c r="E1018" s="752" t="s">
        <v>1039</v>
      </c>
      <c r="F1018" s="751">
        <v>1362</v>
      </c>
      <c r="G1018" s="752" t="s">
        <v>59</v>
      </c>
      <c r="H1018" s="752" t="s">
        <v>1244</v>
      </c>
      <c r="I1018" s="752" t="s">
        <v>60</v>
      </c>
      <c r="J1018" s="751">
        <v>622</v>
      </c>
      <c r="K1018" s="751">
        <v>4</v>
      </c>
      <c r="L1018" s="752" t="s">
        <v>422</v>
      </c>
      <c r="M1018" s="752" t="s">
        <v>53</v>
      </c>
      <c r="N1018" s="752" t="s">
        <v>48</v>
      </c>
      <c r="O1018" s="752" t="s">
        <v>48</v>
      </c>
      <c r="P1018" s="752" t="s">
        <v>49</v>
      </c>
      <c r="Q1018" s="753">
        <v>65</v>
      </c>
      <c r="R1018" s="753">
        <v>65</v>
      </c>
      <c r="S1018" s="753">
        <v>390</v>
      </c>
      <c r="T1018" s="753">
        <v>390</v>
      </c>
      <c r="U1018" s="753">
        <v>38</v>
      </c>
      <c r="V1018" s="751">
        <v>2019</v>
      </c>
      <c r="W1018" s="222"/>
      <c r="X1018" s="186" t="str">
        <f t="shared" si="53"/>
        <v/>
      </c>
      <c r="Y1018" s="178" t="str">
        <f t="shared" si="50"/>
        <v/>
      </c>
      <c r="Z1018" s="178" t="str">
        <f t="shared" si="51"/>
        <v/>
      </c>
      <c r="AA1018" s="44"/>
      <c r="AB1018" s="65"/>
    </row>
    <row r="1019" spans="1:28" ht="12.75" hidden="1" customHeight="1">
      <c r="A1019" s="751">
        <v>54865</v>
      </c>
      <c r="B1019" s="752" t="s">
        <v>35</v>
      </c>
      <c r="C1019" s="751" t="s">
        <v>2960</v>
      </c>
      <c r="D1019" s="752" t="s">
        <v>1040</v>
      </c>
      <c r="E1019" s="752" t="s">
        <v>1159</v>
      </c>
      <c r="F1019" s="751">
        <v>57280</v>
      </c>
      <c r="G1019" s="752" t="s">
        <v>59</v>
      </c>
      <c r="H1019" s="752" t="s">
        <v>1244</v>
      </c>
      <c r="I1019" s="752" t="s">
        <v>60</v>
      </c>
      <c r="J1019" s="751">
        <v>22</v>
      </c>
      <c r="K1019" s="751">
        <v>2</v>
      </c>
      <c r="L1019" s="752" t="s">
        <v>54</v>
      </c>
      <c r="M1019" s="752" t="s">
        <v>37</v>
      </c>
      <c r="N1019" s="752" t="s">
        <v>38</v>
      </c>
      <c r="O1019" s="752" t="s">
        <v>39</v>
      </c>
      <c r="P1019" s="752" t="s">
        <v>1238</v>
      </c>
      <c r="Q1019" s="753">
        <v>0</v>
      </c>
      <c r="R1019" s="753">
        <v>0</v>
      </c>
      <c r="S1019" s="753">
        <v>105210</v>
      </c>
      <c r="T1019" s="753">
        <v>105210</v>
      </c>
      <c r="U1019" s="753">
        <v>11816</v>
      </c>
      <c r="V1019" s="751">
        <v>2019</v>
      </c>
      <c r="W1019" s="222"/>
      <c r="X1019" s="186"/>
      <c r="Y1019" s="178" t="str">
        <f t="shared" si="50"/>
        <v/>
      </c>
      <c r="Z1019" s="178" t="str">
        <f t="shared" si="51"/>
        <v/>
      </c>
      <c r="AA1019" s="44"/>
      <c r="AB1019" s="65"/>
    </row>
    <row r="1020" spans="1:28" ht="12.75" hidden="1" customHeight="1">
      <c r="A1020" s="751">
        <v>54878</v>
      </c>
      <c r="B1020" s="752" t="s">
        <v>35</v>
      </c>
      <c r="C1020" s="751" t="s">
        <v>2960</v>
      </c>
      <c r="D1020" s="752" t="s">
        <v>1944</v>
      </c>
      <c r="E1020" s="752" t="s">
        <v>1944</v>
      </c>
      <c r="F1020" s="751">
        <v>32080</v>
      </c>
      <c r="G1020" s="752" t="s">
        <v>59</v>
      </c>
      <c r="H1020" s="752" t="s">
        <v>1244</v>
      </c>
      <c r="I1020" s="752" t="s">
        <v>60</v>
      </c>
      <c r="J1020" s="751">
        <v>322122</v>
      </c>
      <c r="K1020" s="751">
        <v>6</v>
      </c>
      <c r="L1020" s="752" t="s">
        <v>420</v>
      </c>
      <c r="M1020" s="752" t="s">
        <v>37</v>
      </c>
      <c r="N1020" s="752" t="s">
        <v>38</v>
      </c>
      <c r="O1020" s="752" t="s">
        <v>39</v>
      </c>
      <c r="P1020" s="752" t="s">
        <v>1238</v>
      </c>
      <c r="Q1020" s="753">
        <v>0</v>
      </c>
      <c r="R1020" s="753">
        <v>0</v>
      </c>
      <c r="S1020" s="753">
        <v>54892</v>
      </c>
      <c r="T1020" s="753">
        <v>54892</v>
      </c>
      <c r="U1020" s="753">
        <v>6165</v>
      </c>
      <c r="V1020" s="751">
        <v>2019</v>
      </c>
      <c r="W1020" s="222"/>
      <c r="X1020" s="186"/>
      <c r="Y1020" s="178" t="str">
        <f t="shared" si="50"/>
        <v/>
      </c>
      <c r="Z1020" s="178" t="str">
        <f t="shared" si="51"/>
        <v/>
      </c>
      <c r="AA1020" s="44"/>
      <c r="AB1020" s="65"/>
    </row>
    <row r="1021" spans="1:28" ht="25" hidden="1">
      <c r="A1021" s="751">
        <v>54907</v>
      </c>
      <c r="B1021" s="752" t="s">
        <v>56</v>
      </c>
      <c r="C1021" s="751" t="s">
        <v>2960</v>
      </c>
      <c r="D1021" s="752" t="s">
        <v>446</v>
      </c>
      <c r="E1021" s="752" t="s">
        <v>447</v>
      </c>
      <c r="F1021" s="751">
        <v>11820</v>
      </c>
      <c r="G1021" s="752" t="s">
        <v>83</v>
      </c>
      <c r="H1021" s="752" t="s">
        <v>1245</v>
      </c>
      <c r="I1021" s="752" t="s">
        <v>60</v>
      </c>
      <c r="J1021" s="751">
        <v>611</v>
      </c>
      <c r="K1021" s="751">
        <v>5</v>
      </c>
      <c r="L1021" s="752" t="s">
        <v>423</v>
      </c>
      <c r="M1021" s="752" t="s">
        <v>52</v>
      </c>
      <c r="N1021" s="752" t="s">
        <v>48</v>
      </c>
      <c r="O1021" s="752" t="s">
        <v>48</v>
      </c>
      <c r="P1021" s="752" t="s">
        <v>49</v>
      </c>
      <c r="Q1021" s="753">
        <v>616</v>
      </c>
      <c r="R1021" s="753">
        <v>207</v>
      </c>
      <c r="S1021" s="753">
        <v>3819</v>
      </c>
      <c r="T1021" s="753">
        <v>1275</v>
      </c>
      <c r="U1021" s="753">
        <v>278.577</v>
      </c>
      <c r="V1021" s="751">
        <v>2019</v>
      </c>
      <c r="W1021" s="222"/>
      <c r="X1021" s="186" t="str">
        <f t="shared" ref="X1021:X1031" si="54">IF(OR(K1021&gt;3,T1021=0,NOT(U1021&gt;0)),"",T1021/U1021)</f>
        <v/>
      </c>
      <c r="Y1021" s="178" t="str">
        <f t="shared" si="50"/>
        <v/>
      </c>
      <c r="Z1021" s="178">
        <f t="shared" si="51"/>
        <v>5.2726756115765259</v>
      </c>
      <c r="AA1021" s="44"/>
      <c r="AB1021" s="65"/>
    </row>
    <row r="1022" spans="1:28" ht="25" hidden="1">
      <c r="A1022" s="751">
        <v>54907</v>
      </c>
      <c r="B1022" s="752" t="s">
        <v>56</v>
      </c>
      <c r="C1022" s="751" t="s">
        <v>2960</v>
      </c>
      <c r="D1022" s="752" t="s">
        <v>446</v>
      </c>
      <c r="E1022" s="752" t="s">
        <v>447</v>
      </c>
      <c r="F1022" s="751">
        <v>11820</v>
      </c>
      <c r="G1022" s="752" t="s">
        <v>83</v>
      </c>
      <c r="H1022" s="752" t="s">
        <v>1245</v>
      </c>
      <c r="I1022" s="752" t="s">
        <v>60</v>
      </c>
      <c r="J1022" s="751">
        <v>611</v>
      </c>
      <c r="K1022" s="751">
        <v>5</v>
      </c>
      <c r="L1022" s="752" t="s">
        <v>423</v>
      </c>
      <c r="M1022" s="752" t="s">
        <v>52</v>
      </c>
      <c r="N1022" s="752" t="s">
        <v>41</v>
      </c>
      <c r="O1022" s="752" t="s">
        <v>41</v>
      </c>
      <c r="P1022" s="752" t="s">
        <v>1091</v>
      </c>
      <c r="Q1022" s="753">
        <v>1231541</v>
      </c>
      <c r="R1022" s="753">
        <v>411518</v>
      </c>
      <c r="S1022" s="753">
        <v>1280804</v>
      </c>
      <c r="T1022" s="753">
        <v>427980</v>
      </c>
      <c r="U1022" s="753">
        <v>93423.142999999996</v>
      </c>
      <c r="V1022" s="751">
        <v>2019</v>
      </c>
      <c r="W1022" s="222"/>
      <c r="X1022" s="186" t="str">
        <f t="shared" si="54"/>
        <v/>
      </c>
      <c r="Y1022" s="178">
        <f t="shared" si="50"/>
        <v>5.2729645702127907</v>
      </c>
      <c r="Z1022" s="178" t="str">
        <f t="shared" si="51"/>
        <v/>
      </c>
      <c r="AA1022" s="44"/>
      <c r="AB1022" s="65"/>
    </row>
    <row r="1023" spans="1:28" hidden="1">
      <c r="A1023" s="751">
        <v>54914</v>
      </c>
      <c r="B1023" s="752" t="s">
        <v>56</v>
      </c>
      <c r="C1023" s="751" t="s">
        <v>2960</v>
      </c>
      <c r="D1023" s="752" t="s">
        <v>163</v>
      </c>
      <c r="E1023" s="752" t="s">
        <v>164</v>
      </c>
      <c r="F1023" s="751">
        <v>2313</v>
      </c>
      <c r="G1023" s="752" t="s">
        <v>59</v>
      </c>
      <c r="H1023" s="752" t="s">
        <v>1244</v>
      </c>
      <c r="I1023" s="752" t="s">
        <v>60</v>
      </c>
      <c r="J1023" s="751">
        <v>22</v>
      </c>
      <c r="K1023" s="751">
        <v>3</v>
      </c>
      <c r="L1023" s="752" t="s">
        <v>57</v>
      </c>
      <c r="M1023" s="752" t="s">
        <v>40</v>
      </c>
      <c r="N1023" s="752" t="s">
        <v>48</v>
      </c>
      <c r="O1023" s="752" t="s">
        <v>48</v>
      </c>
      <c r="P1023" s="752" t="s">
        <v>49</v>
      </c>
      <c r="Q1023" s="753">
        <v>0</v>
      </c>
      <c r="R1023" s="753">
        <v>0</v>
      </c>
      <c r="S1023" s="753">
        <v>0</v>
      </c>
      <c r="T1023" s="753">
        <v>0</v>
      </c>
      <c r="U1023" s="753">
        <v>1473.962</v>
      </c>
      <c r="V1023" s="751">
        <v>2019</v>
      </c>
      <c r="W1023" s="222"/>
      <c r="X1023" s="186" t="str">
        <f t="shared" si="54"/>
        <v/>
      </c>
      <c r="Y1023" s="178" t="str">
        <f t="shared" si="50"/>
        <v/>
      </c>
      <c r="Z1023" s="178" t="str">
        <f t="shared" si="51"/>
        <v/>
      </c>
      <c r="AA1023" s="44"/>
      <c r="AB1023" s="65"/>
    </row>
    <row r="1024" spans="1:28" hidden="1">
      <c r="A1024" s="751">
        <v>54914</v>
      </c>
      <c r="B1024" s="752" t="s">
        <v>56</v>
      </c>
      <c r="C1024" s="751" t="s">
        <v>2960</v>
      </c>
      <c r="D1024" s="752" t="s">
        <v>163</v>
      </c>
      <c r="E1024" s="752" t="s">
        <v>164</v>
      </c>
      <c r="F1024" s="751">
        <v>2313</v>
      </c>
      <c r="G1024" s="752" t="s">
        <v>59</v>
      </c>
      <c r="H1024" s="752" t="s">
        <v>1244</v>
      </c>
      <c r="I1024" s="752" t="s">
        <v>60</v>
      </c>
      <c r="J1024" s="751">
        <v>22</v>
      </c>
      <c r="K1024" s="751">
        <v>3</v>
      </c>
      <c r="L1024" s="752" t="s">
        <v>57</v>
      </c>
      <c r="M1024" s="752" t="s">
        <v>40</v>
      </c>
      <c r="N1024" s="752" t="s">
        <v>41</v>
      </c>
      <c r="O1024" s="752" t="s">
        <v>41</v>
      </c>
      <c r="P1024" s="752" t="s">
        <v>1091</v>
      </c>
      <c r="Q1024" s="753">
        <v>0</v>
      </c>
      <c r="R1024" s="753">
        <v>0</v>
      </c>
      <c r="S1024" s="753">
        <v>0</v>
      </c>
      <c r="T1024" s="753">
        <v>0</v>
      </c>
      <c r="U1024" s="753">
        <v>307134.03999999998</v>
      </c>
      <c r="V1024" s="751">
        <v>2019</v>
      </c>
      <c r="W1024" s="222"/>
      <c r="X1024" s="186" t="str">
        <f t="shared" si="54"/>
        <v/>
      </c>
      <c r="Y1024" s="178" t="str">
        <f t="shared" si="50"/>
        <v/>
      </c>
      <c r="Z1024" s="178" t="str">
        <f t="shared" si="51"/>
        <v/>
      </c>
      <c r="AA1024" s="44"/>
      <c r="AB1024" s="65"/>
    </row>
    <row r="1025" spans="1:28" hidden="1">
      <c r="A1025" s="751">
        <v>54914</v>
      </c>
      <c r="B1025" s="752" t="s">
        <v>56</v>
      </c>
      <c r="C1025" s="751" t="s">
        <v>2960</v>
      </c>
      <c r="D1025" s="752" t="s">
        <v>163</v>
      </c>
      <c r="E1025" s="752" t="s">
        <v>164</v>
      </c>
      <c r="F1025" s="751">
        <v>2313</v>
      </c>
      <c r="G1025" s="752" t="s">
        <v>59</v>
      </c>
      <c r="H1025" s="752" t="s">
        <v>1244</v>
      </c>
      <c r="I1025" s="752" t="s">
        <v>60</v>
      </c>
      <c r="J1025" s="751">
        <v>22</v>
      </c>
      <c r="K1025" s="751">
        <v>3</v>
      </c>
      <c r="L1025" s="752" t="s">
        <v>57</v>
      </c>
      <c r="M1025" s="752" t="s">
        <v>43</v>
      </c>
      <c r="N1025" s="752" t="s">
        <v>48</v>
      </c>
      <c r="O1025" s="752" t="s">
        <v>48</v>
      </c>
      <c r="P1025" s="752" t="s">
        <v>49</v>
      </c>
      <c r="Q1025" s="753">
        <v>34584</v>
      </c>
      <c r="R1025" s="753">
        <v>19646</v>
      </c>
      <c r="S1025" s="753">
        <v>200587</v>
      </c>
      <c r="T1025" s="753">
        <v>113949</v>
      </c>
      <c r="U1025" s="753">
        <v>17896.008000000002</v>
      </c>
      <c r="V1025" s="751">
        <v>2019</v>
      </c>
      <c r="W1025" s="222"/>
      <c r="X1025" s="186">
        <f t="shared" si="54"/>
        <v>6.3672859332651166</v>
      </c>
      <c r="Y1025" s="178" t="str">
        <f t="shared" si="50"/>
        <v/>
      </c>
      <c r="Z1025" s="178" t="str">
        <f t="shared" si="51"/>
        <v/>
      </c>
      <c r="AA1025" s="44"/>
      <c r="AB1025" s="65"/>
    </row>
    <row r="1026" spans="1:28" hidden="1">
      <c r="A1026" s="751">
        <v>54914</v>
      </c>
      <c r="B1026" s="752" t="s">
        <v>56</v>
      </c>
      <c r="C1026" s="751" t="s">
        <v>2960</v>
      </c>
      <c r="D1026" s="752" t="s">
        <v>163</v>
      </c>
      <c r="E1026" s="752" t="s">
        <v>164</v>
      </c>
      <c r="F1026" s="751">
        <v>2313</v>
      </c>
      <c r="G1026" s="752" t="s">
        <v>59</v>
      </c>
      <c r="H1026" s="752" t="s">
        <v>1244</v>
      </c>
      <c r="I1026" s="752" t="s">
        <v>60</v>
      </c>
      <c r="J1026" s="751">
        <v>22</v>
      </c>
      <c r="K1026" s="751">
        <v>3</v>
      </c>
      <c r="L1026" s="752" t="s">
        <v>57</v>
      </c>
      <c r="M1026" s="752" t="s">
        <v>43</v>
      </c>
      <c r="N1026" s="752" t="s">
        <v>41</v>
      </c>
      <c r="O1026" s="752" t="s">
        <v>41</v>
      </c>
      <c r="P1026" s="752" t="s">
        <v>1091</v>
      </c>
      <c r="Q1026" s="753">
        <v>17254924</v>
      </c>
      <c r="R1026" s="753">
        <v>10635601</v>
      </c>
      <c r="S1026" s="753">
        <v>17878599</v>
      </c>
      <c r="T1026" s="753">
        <v>11020014</v>
      </c>
      <c r="U1026" s="753">
        <v>1565739</v>
      </c>
      <c r="V1026" s="751">
        <v>2019</v>
      </c>
      <c r="W1026" s="222"/>
      <c r="X1026" s="186">
        <f t="shared" si="54"/>
        <v>7.0382190135137463</v>
      </c>
      <c r="Y1026" s="86" t="str">
        <f t="shared" si="50"/>
        <v/>
      </c>
      <c r="Z1026" s="86" t="str">
        <f t="shared" si="51"/>
        <v/>
      </c>
      <c r="AA1026" s="44"/>
      <c r="AB1026" s="65"/>
    </row>
    <row r="1027" spans="1:28" ht="25" hidden="1">
      <c r="A1027" s="751">
        <v>54937</v>
      </c>
      <c r="B1027" s="752" t="s">
        <v>56</v>
      </c>
      <c r="C1027" s="751" t="s">
        <v>2960</v>
      </c>
      <c r="D1027" s="752" t="s">
        <v>1041</v>
      </c>
      <c r="E1027" s="752" t="s">
        <v>1042</v>
      </c>
      <c r="F1027" s="751">
        <v>20347</v>
      </c>
      <c r="G1027" s="752" t="s">
        <v>83</v>
      </c>
      <c r="H1027" s="752" t="s">
        <v>1245</v>
      </c>
      <c r="I1027" s="752" t="s">
        <v>60</v>
      </c>
      <c r="J1027" s="751">
        <v>611</v>
      </c>
      <c r="K1027" s="751">
        <v>5</v>
      </c>
      <c r="L1027" s="752" t="s">
        <v>423</v>
      </c>
      <c r="M1027" s="752" t="s">
        <v>53</v>
      </c>
      <c r="N1027" s="752" t="s">
        <v>41</v>
      </c>
      <c r="O1027" s="752" t="s">
        <v>41</v>
      </c>
      <c r="P1027" s="752" t="s">
        <v>1091</v>
      </c>
      <c r="Q1027" s="753">
        <v>129903</v>
      </c>
      <c r="R1027" s="753">
        <v>77893</v>
      </c>
      <c r="S1027" s="753">
        <v>133151</v>
      </c>
      <c r="T1027" s="753">
        <v>79841</v>
      </c>
      <c r="U1027" s="753">
        <v>10778.04</v>
      </c>
      <c r="V1027" s="751">
        <v>2019</v>
      </c>
      <c r="W1027" s="222"/>
      <c r="X1027" s="186" t="str">
        <f t="shared" si="54"/>
        <v/>
      </c>
      <c r="Y1027" s="178" t="str">
        <f t="shared" si="50"/>
        <v/>
      </c>
      <c r="Z1027" s="178" t="str">
        <f t="shared" si="51"/>
        <v/>
      </c>
      <c r="AA1027" s="44"/>
      <c r="AB1027" s="65"/>
    </row>
    <row r="1028" spans="1:28" ht="25" hidden="1">
      <c r="A1028" s="751">
        <v>54945</v>
      </c>
      <c r="B1028" s="752" t="s">
        <v>35</v>
      </c>
      <c r="C1028" s="751" t="s">
        <v>2960</v>
      </c>
      <c r="D1028" s="752" t="s">
        <v>1173</v>
      </c>
      <c r="E1028" s="752" t="s">
        <v>1174</v>
      </c>
      <c r="F1028" s="751">
        <v>4426</v>
      </c>
      <c r="G1028" s="752" t="s">
        <v>43</v>
      </c>
      <c r="H1028" s="752" t="s">
        <v>1245</v>
      </c>
      <c r="I1028" s="752" t="s">
        <v>60</v>
      </c>
      <c r="J1028" s="751">
        <v>22</v>
      </c>
      <c r="K1028" s="751">
        <v>2</v>
      </c>
      <c r="L1028" s="752" t="s">
        <v>54</v>
      </c>
      <c r="M1028" s="752" t="s">
        <v>44</v>
      </c>
      <c r="N1028" s="752" t="s">
        <v>45</v>
      </c>
      <c r="O1028" s="752" t="s">
        <v>46</v>
      </c>
      <c r="P1028" s="752" t="s">
        <v>47</v>
      </c>
      <c r="Q1028" s="753">
        <v>0</v>
      </c>
      <c r="R1028" s="753">
        <v>0</v>
      </c>
      <c r="S1028" s="753">
        <v>0</v>
      </c>
      <c r="T1028" s="753">
        <v>0</v>
      </c>
      <c r="U1028" s="753">
        <v>0</v>
      </c>
      <c r="V1028" s="751">
        <v>2019</v>
      </c>
      <c r="W1028" s="222"/>
      <c r="X1028" s="186" t="str">
        <f t="shared" si="54"/>
        <v/>
      </c>
      <c r="Y1028" s="178" t="str">
        <f t="shared" si="50"/>
        <v/>
      </c>
      <c r="Z1028" s="178" t="str">
        <f t="shared" si="51"/>
        <v/>
      </c>
      <c r="AA1028" s="44"/>
      <c r="AB1028" s="65"/>
    </row>
    <row r="1029" spans="1:28" ht="25" hidden="1">
      <c r="A1029" s="751">
        <v>54945</v>
      </c>
      <c r="B1029" s="752" t="s">
        <v>35</v>
      </c>
      <c r="C1029" s="751" t="s">
        <v>2960</v>
      </c>
      <c r="D1029" s="752" t="s">
        <v>1173</v>
      </c>
      <c r="E1029" s="752" t="s">
        <v>1174</v>
      </c>
      <c r="F1029" s="751">
        <v>4426</v>
      </c>
      <c r="G1029" s="752" t="s">
        <v>43</v>
      </c>
      <c r="H1029" s="752" t="s">
        <v>1245</v>
      </c>
      <c r="I1029" s="752" t="s">
        <v>60</v>
      </c>
      <c r="J1029" s="751">
        <v>22</v>
      </c>
      <c r="K1029" s="751">
        <v>2</v>
      </c>
      <c r="L1029" s="752" t="s">
        <v>54</v>
      </c>
      <c r="M1029" s="752" t="s">
        <v>44</v>
      </c>
      <c r="N1029" s="752" t="s">
        <v>18</v>
      </c>
      <c r="O1029" s="752" t="s">
        <v>66</v>
      </c>
      <c r="P1029" s="752" t="s">
        <v>47</v>
      </c>
      <c r="Q1029" s="753">
        <v>303964</v>
      </c>
      <c r="R1029" s="753">
        <v>303964</v>
      </c>
      <c r="S1029" s="753">
        <v>2434159</v>
      </c>
      <c r="T1029" s="753">
        <v>2434159</v>
      </c>
      <c r="U1029" s="753">
        <v>112703.76</v>
      </c>
      <c r="V1029" s="751">
        <v>2019</v>
      </c>
      <c r="W1029" s="222"/>
      <c r="X1029" s="186">
        <f t="shared" si="54"/>
        <v>21.597850861408705</v>
      </c>
      <c r="Y1029" s="86" t="str">
        <f t="shared" si="50"/>
        <v/>
      </c>
      <c r="Z1029" s="86" t="str">
        <f t="shared" si="51"/>
        <v/>
      </c>
      <c r="AA1029" s="44"/>
      <c r="AB1029" s="65"/>
    </row>
    <row r="1030" spans="1:28" ht="25" hidden="1">
      <c r="A1030" s="751">
        <v>54945</v>
      </c>
      <c r="B1030" s="752" t="s">
        <v>35</v>
      </c>
      <c r="C1030" s="751" t="s">
        <v>2960</v>
      </c>
      <c r="D1030" s="752" t="s">
        <v>1173</v>
      </c>
      <c r="E1030" s="752" t="s">
        <v>1174</v>
      </c>
      <c r="F1030" s="751">
        <v>4426</v>
      </c>
      <c r="G1030" s="752" t="s">
        <v>43</v>
      </c>
      <c r="H1030" s="752" t="s">
        <v>1245</v>
      </c>
      <c r="I1030" s="752" t="s">
        <v>60</v>
      </c>
      <c r="J1030" s="751">
        <v>22</v>
      </c>
      <c r="K1030" s="751">
        <v>2</v>
      </c>
      <c r="L1030" s="752" t="s">
        <v>54</v>
      </c>
      <c r="M1030" s="752" t="s">
        <v>44</v>
      </c>
      <c r="N1030" s="752" t="s">
        <v>19</v>
      </c>
      <c r="O1030" s="752" t="s">
        <v>84</v>
      </c>
      <c r="P1030" s="752" t="s">
        <v>47</v>
      </c>
      <c r="Q1030" s="753">
        <v>194334</v>
      </c>
      <c r="R1030" s="753">
        <v>194334</v>
      </c>
      <c r="S1030" s="753">
        <v>2975104</v>
      </c>
      <c r="T1030" s="753">
        <v>2975104</v>
      </c>
      <c r="U1030" s="753">
        <v>137749.82</v>
      </c>
      <c r="V1030" s="751">
        <v>2019</v>
      </c>
      <c r="W1030" s="222"/>
      <c r="X1030" s="186">
        <f t="shared" si="54"/>
        <v>21.597879401947676</v>
      </c>
      <c r="Y1030" s="86" t="str">
        <f t="shared" si="50"/>
        <v/>
      </c>
      <c r="Z1030" s="86" t="str">
        <f t="shared" si="51"/>
        <v/>
      </c>
      <c r="AA1030" s="44"/>
      <c r="AB1030" s="65"/>
    </row>
    <row r="1031" spans="1:28" s="154" customFormat="1" hidden="1">
      <c r="A1031" s="751">
        <v>54945</v>
      </c>
      <c r="B1031" s="752" t="s">
        <v>35</v>
      </c>
      <c r="C1031" s="751" t="s">
        <v>2960</v>
      </c>
      <c r="D1031" s="752" t="s">
        <v>1173</v>
      </c>
      <c r="E1031" s="752" t="s">
        <v>1174</v>
      </c>
      <c r="F1031" s="751">
        <v>4426</v>
      </c>
      <c r="G1031" s="752" t="s">
        <v>43</v>
      </c>
      <c r="H1031" s="752" t="s">
        <v>1245</v>
      </c>
      <c r="I1031" s="752" t="s">
        <v>60</v>
      </c>
      <c r="J1031" s="751">
        <v>22</v>
      </c>
      <c r="K1031" s="751">
        <v>2</v>
      </c>
      <c r="L1031" s="752" t="s">
        <v>54</v>
      </c>
      <c r="M1031" s="752" t="s">
        <v>44</v>
      </c>
      <c r="N1031" s="752" t="s">
        <v>41</v>
      </c>
      <c r="O1031" s="752" t="s">
        <v>41</v>
      </c>
      <c r="P1031" s="752" t="s">
        <v>1091</v>
      </c>
      <c r="Q1031" s="753">
        <v>53622</v>
      </c>
      <c r="R1031" s="753">
        <v>53622</v>
      </c>
      <c r="S1031" s="753">
        <v>54963</v>
      </c>
      <c r="T1031" s="753">
        <v>54963</v>
      </c>
      <c r="U1031" s="753">
        <v>2471.4229999999998</v>
      </c>
      <c r="V1031" s="751">
        <v>2019</v>
      </c>
      <c r="W1031" s="222"/>
      <c r="X1031" s="186">
        <f t="shared" si="54"/>
        <v>22.239414296945526</v>
      </c>
      <c r="Y1031" s="178" t="str">
        <f t="shared" ref="Y1031:Y1094" si="55">IF(AND($M1031=$Y$2,$N1031=$Y$3,NOT($Q1031=$R1031),NOT($U1031=0)),IF($K1031=5,$S1031/($U1031+(8/5)*$U1031),IF($K1031=7,$S1031/($U1031+(29/25)*$U1031),"")),"")</f>
        <v/>
      </c>
      <c r="Z1031" s="178" t="str">
        <f t="shared" ref="Z1031:Z1094" si="56">IF(AND($M1031=$Y$2,$N1031=$Y$4,NOT($Q1031=$R1031),NOT($U1031=0)),IF($K1031=5,$S1031/($U1031+(8/5)*$U1031),IF($K1031=7,$S1031/($U1031+(29/25)*$U1031),"")),"")</f>
        <v/>
      </c>
      <c r="AA1031" s="44"/>
      <c r="AB1031" s="179"/>
    </row>
    <row r="1032" spans="1:28" hidden="1">
      <c r="A1032" s="751">
        <v>54953</v>
      </c>
      <c r="B1032" s="752" t="s">
        <v>35</v>
      </c>
      <c r="C1032" s="751" t="s">
        <v>2960</v>
      </c>
      <c r="D1032" s="752" t="s">
        <v>1043</v>
      </c>
      <c r="E1032" s="752" t="s">
        <v>815</v>
      </c>
      <c r="F1032" s="751">
        <v>55754</v>
      </c>
      <c r="G1032" s="752" t="s">
        <v>59</v>
      </c>
      <c r="H1032" s="752" t="s">
        <v>1244</v>
      </c>
      <c r="I1032" s="752" t="s">
        <v>60</v>
      </c>
      <c r="J1032" s="751">
        <v>22</v>
      </c>
      <c r="K1032" s="751">
        <v>2</v>
      </c>
      <c r="L1032" s="752" t="s">
        <v>54</v>
      </c>
      <c r="M1032" s="752" t="s">
        <v>37</v>
      </c>
      <c r="N1032" s="752" t="s">
        <v>38</v>
      </c>
      <c r="O1032" s="752" t="s">
        <v>39</v>
      </c>
      <c r="P1032" s="752" t="s">
        <v>1238</v>
      </c>
      <c r="Q1032" s="753">
        <v>0</v>
      </c>
      <c r="R1032" s="753">
        <v>0</v>
      </c>
      <c r="S1032" s="753">
        <v>2288188</v>
      </c>
      <c r="T1032" s="753">
        <v>2288188</v>
      </c>
      <c r="U1032" s="753">
        <v>256984</v>
      </c>
      <c r="V1032" s="751">
        <v>2019</v>
      </c>
      <c r="W1032" s="222"/>
      <c r="X1032" s="186"/>
      <c r="Y1032" s="178" t="str">
        <f t="shared" si="55"/>
        <v/>
      </c>
      <c r="Z1032" s="178" t="str">
        <f t="shared" si="56"/>
        <v/>
      </c>
      <c r="AA1032" s="44"/>
      <c r="AB1032" s="65"/>
    </row>
    <row r="1033" spans="1:28" ht="25" hidden="1">
      <c r="A1033" s="751">
        <v>54981</v>
      </c>
      <c r="B1033" s="752" t="s">
        <v>35</v>
      </c>
      <c r="C1033" s="751" t="s">
        <v>2960</v>
      </c>
      <c r="D1033" s="752" t="s">
        <v>1044</v>
      </c>
      <c r="E1033" s="752" t="s">
        <v>628</v>
      </c>
      <c r="F1033" s="751">
        <v>8776</v>
      </c>
      <c r="G1033" s="752" t="s">
        <v>83</v>
      </c>
      <c r="H1033" s="752" t="s">
        <v>1245</v>
      </c>
      <c r="I1033" s="752" t="s">
        <v>60</v>
      </c>
      <c r="J1033" s="751">
        <v>22</v>
      </c>
      <c r="K1033" s="751">
        <v>1</v>
      </c>
      <c r="L1033" s="752" t="s">
        <v>36</v>
      </c>
      <c r="M1033" s="752" t="s">
        <v>37</v>
      </c>
      <c r="N1033" s="752" t="s">
        <v>38</v>
      </c>
      <c r="O1033" s="752" t="s">
        <v>39</v>
      </c>
      <c r="P1033" s="752" t="s">
        <v>1238</v>
      </c>
      <c r="Q1033" s="753">
        <v>0</v>
      </c>
      <c r="R1033" s="753">
        <v>0</v>
      </c>
      <c r="S1033" s="753">
        <v>0</v>
      </c>
      <c r="T1033" s="753">
        <v>0</v>
      </c>
      <c r="U1033" s="753">
        <v>0</v>
      </c>
      <c r="V1033" s="751">
        <v>2019</v>
      </c>
      <c r="W1033" s="222"/>
      <c r="X1033" s="186"/>
      <c r="Y1033" s="86" t="str">
        <f t="shared" si="55"/>
        <v/>
      </c>
      <c r="Z1033" s="86" t="str">
        <f t="shared" si="56"/>
        <v/>
      </c>
      <c r="AA1033" s="44"/>
      <c r="AB1033" s="65"/>
    </row>
    <row r="1034" spans="1:28" hidden="1">
      <c r="A1034" s="751">
        <v>55006</v>
      </c>
      <c r="B1034" s="752" t="s">
        <v>35</v>
      </c>
      <c r="C1034" s="751" t="s">
        <v>2960</v>
      </c>
      <c r="D1034" s="752" t="s">
        <v>1175</v>
      </c>
      <c r="E1034" s="752" t="s">
        <v>1945</v>
      </c>
      <c r="F1034" s="751">
        <v>57249</v>
      </c>
      <c r="G1034" s="752" t="s">
        <v>98</v>
      </c>
      <c r="H1034" s="752" t="s">
        <v>1245</v>
      </c>
      <c r="I1034" s="752" t="s">
        <v>60</v>
      </c>
      <c r="J1034" s="751">
        <v>22</v>
      </c>
      <c r="K1034" s="751">
        <v>2</v>
      </c>
      <c r="L1034" s="752" t="s">
        <v>54</v>
      </c>
      <c r="M1034" s="752" t="s">
        <v>53</v>
      </c>
      <c r="N1034" s="752" t="s">
        <v>65</v>
      </c>
      <c r="O1034" s="752" t="s">
        <v>66</v>
      </c>
      <c r="P1034" s="752" t="s">
        <v>1091</v>
      </c>
      <c r="Q1034" s="753">
        <v>398407</v>
      </c>
      <c r="R1034" s="753">
        <v>398407</v>
      </c>
      <c r="S1034" s="753">
        <v>160161</v>
      </c>
      <c r="T1034" s="753">
        <v>160161</v>
      </c>
      <c r="U1034" s="753">
        <v>14935</v>
      </c>
      <c r="V1034" s="751">
        <v>2019</v>
      </c>
      <c r="W1034" s="222"/>
      <c r="X1034" s="186">
        <f t="shared" ref="X1034:X1066" si="57">IF(OR(K1034&gt;3,T1034=0,NOT(U1034&gt;0)),"",T1034/U1034)</f>
        <v>10.72387010378306</v>
      </c>
      <c r="Y1034" s="86" t="str">
        <f t="shared" si="55"/>
        <v/>
      </c>
      <c r="Z1034" s="86" t="str">
        <f t="shared" si="56"/>
        <v/>
      </c>
      <c r="AA1034" s="44"/>
      <c r="AB1034" s="65"/>
    </row>
    <row r="1035" spans="1:28" hidden="1">
      <c r="A1035" s="751">
        <v>55026</v>
      </c>
      <c r="B1035" s="752" t="s">
        <v>35</v>
      </c>
      <c r="C1035" s="751" t="s">
        <v>2960</v>
      </c>
      <c r="D1035" s="752" t="s">
        <v>165</v>
      </c>
      <c r="E1035" s="752" t="s">
        <v>1045</v>
      </c>
      <c r="F1035" s="751">
        <v>55773</v>
      </c>
      <c r="G1035" s="752" t="s">
        <v>83</v>
      </c>
      <c r="H1035" s="752" t="s">
        <v>1245</v>
      </c>
      <c r="I1035" s="752" t="s">
        <v>60</v>
      </c>
      <c r="J1035" s="751">
        <v>22</v>
      </c>
      <c r="K1035" s="751">
        <v>2</v>
      </c>
      <c r="L1035" s="752" t="s">
        <v>54</v>
      </c>
      <c r="M1035" s="752" t="s">
        <v>64</v>
      </c>
      <c r="N1035" s="752" t="s">
        <v>41</v>
      </c>
      <c r="O1035" s="752" t="s">
        <v>41</v>
      </c>
      <c r="P1035" s="752" t="s">
        <v>1091</v>
      </c>
      <c r="Q1035" s="753">
        <v>2108440</v>
      </c>
      <c r="R1035" s="753">
        <v>2108440</v>
      </c>
      <c r="S1035" s="753">
        <v>2164844</v>
      </c>
      <c r="T1035" s="753">
        <v>2164844</v>
      </c>
      <c r="U1035" s="753">
        <v>269815</v>
      </c>
      <c r="V1035" s="751">
        <v>2019</v>
      </c>
      <c r="W1035" s="222" t="s">
        <v>2666</v>
      </c>
      <c r="X1035" s="186">
        <f t="shared" si="57"/>
        <v>8.0234382817856673</v>
      </c>
      <c r="Y1035" s="86" t="str">
        <f t="shared" si="55"/>
        <v/>
      </c>
      <c r="Z1035" s="86" t="str">
        <f t="shared" si="56"/>
        <v/>
      </c>
      <c r="AA1035" s="44"/>
      <c r="AB1035" s="65"/>
    </row>
    <row r="1036" spans="1:28" hidden="1">
      <c r="A1036" s="751">
        <v>55031</v>
      </c>
      <c r="B1036" s="752" t="s">
        <v>56</v>
      </c>
      <c r="C1036" s="751" t="s">
        <v>2960</v>
      </c>
      <c r="D1036" s="752" t="s">
        <v>1046</v>
      </c>
      <c r="E1036" s="752" t="s">
        <v>430</v>
      </c>
      <c r="F1036" s="751">
        <v>55738</v>
      </c>
      <c r="G1036" s="752" t="s">
        <v>92</v>
      </c>
      <c r="H1036" s="752" t="s">
        <v>1245</v>
      </c>
      <c r="I1036" s="752" t="s">
        <v>60</v>
      </c>
      <c r="J1036" s="751">
        <v>322</v>
      </c>
      <c r="K1036" s="751">
        <v>7</v>
      </c>
      <c r="L1036" s="752" t="s">
        <v>419</v>
      </c>
      <c r="M1036" s="752" t="s">
        <v>52</v>
      </c>
      <c r="N1036" s="752" t="s">
        <v>48</v>
      </c>
      <c r="O1036" s="752" t="s">
        <v>48</v>
      </c>
      <c r="P1036" s="752" t="s">
        <v>49</v>
      </c>
      <c r="Q1036" s="753">
        <v>0</v>
      </c>
      <c r="R1036" s="753">
        <v>0</v>
      </c>
      <c r="S1036" s="753">
        <v>0</v>
      </c>
      <c r="T1036" s="753">
        <v>0</v>
      </c>
      <c r="U1036" s="753">
        <v>0</v>
      </c>
      <c r="V1036" s="751">
        <v>2019</v>
      </c>
      <c r="W1036" s="222"/>
      <c r="X1036" s="186" t="str">
        <f t="shared" si="57"/>
        <v/>
      </c>
      <c r="Y1036" s="86" t="str">
        <f t="shared" si="55"/>
        <v/>
      </c>
      <c r="Z1036" s="86" t="str">
        <f t="shared" si="56"/>
        <v/>
      </c>
      <c r="AA1036" s="44"/>
      <c r="AB1036" s="65"/>
    </row>
    <row r="1037" spans="1:28" hidden="1">
      <c r="A1037" s="751">
        <v>55031</v>
      </c>
      <c r="B1037" s="752" t="s">
        <v>56</v>
      </c>
      <c r="C1037" s="751" t="s">
        <v>2960</v>
      </c>
      <c r="D1037" s="752" t="s">
        <v>1046</v>
      </c>
      <c r="E1037" s="752" t="s">
        <v>430</v>
      </c>
      <c r="F1037" s="751">
        <v>55738</v>
      </c>
      <c r="G1037" s="752" t="s">
        <v>92</v>
      </c>
      <c r="H1037" s="752" t="s">
        <v>1245</v>
      </c>
      <c r="I1037" s="752" t="s">
        <v>60</v>
      </c>
      <c r="J1037" s="751">
        <v>322</v>
      </c>
      <c r="K1037" s="751">
        <v>7</v>
      </c>
      <c r="L1037" s="752" t="s">
        <v>419</v>
      </c>
      <c r="M1037" s="752" t="s">
        <v>52</v>
      </c>
      <c r="N1037" s="752" t="s">
        <v>78</v>
      </c>
      <c r="O1037" s="752" t="s">
        <v>69</v>
      </c>
      <c r="P1037" s="752" t="s">
        <v>49</v>
      </c>
      <c r="Q1037" s="753">
        <v>6155</v>
      </c>
      <c r="R1037" s="753">
        <v>2247</v>
      </c>
      <c r="S1037" s="753">
        <v>35515</v>
      </c>
      <c r="T1037" s="753">
        <v>12965</v>
      </c>
      <c r="U1037" s="753">
        <v>2731.6390000000001</v>
      </c>
      <c r="V1037" s="751">
        <v>2019</v>
      </c>
      <c r="W1037" s="222"/>
      <c r="X1037" s="186" t="str">
        <f t="shared" si="57"/>
        <v/>
      </c>
      <c r="Y1037" s="86" t="str">
        <f t="shared" si="55"/>
        <v/>
      </c>
      <c r="Z1037" s="86" t="str">
        <f t="shared" si="56"/>
        <v/>
      </c>
      <c r="AA1037" s="44"/>
      <c r="AB1037" s="65"/>
    </row>
    <row r="1038" spans="1:28" hidden="1">
      <c r="A1038" s="751">
        <v>55031</v>
      </c>
      <c r="B1038" s="752" t="s">
        <v>56</v>
      </c>
      <c r="C1038" s="751" t="s">
        <v>2960</v>
      </c>
      <c r="D1038" s="752" t="s">
        <v>1046</v>
      </c>
      <c r="E1038" s="752" t="s">
        <v>430</v>
      </c>
      <c r="F1038" s="751">
        <v>55738</v>
      </c>
      <c r="G1038" s="752" t="s">
        <v>92</v>
      </c>
      <c r="H1038" s="752" t="s">
        <v>1245</v>
      </c>
      <c r="I1038" s="752" t="s">
        <v>60</v>
      </c>
      <c r="J1038" s="751">
        <v>322</v>
      </c>
      <c r="K1038" s="751">
        <v>7</v>
      </c>
      <c r="L1038" s="752" t="s">
        <v>419</v>
      </c>
      <c r="M1038" s="752" t="s">
        <v>52</v>
      </c>
      <c r="N1038" s="752" t="s">
        <v>41</v>
      </c>
      <c r="O1038" s="752" t="s">
        <v>41</v>
      </c>
      <c r="P1038" s="752" t="s">
        <v>1091</v>
      </c>
      <c r="Q1038" s="753">
        <v>4691261</v>
      </c>
      <c r="R1038" s="753">
        <v>1712571</v>
      </c>
      <c r="S1038" s="753">
        <v>4691261</v>
      </c>
      <c r="T1038" s="753">
        <v>1712571</v>
      </c>
      <c r="U1038" s="753">
        <v>360835.36</v>
      </c>
      <c r="V1038" s="751">
        <v>2019</v>
      </c>
      <c r="W1038" s="222"/>
      <c r="X1038" s="186" t="str">
        <f t="shared" si="57"/>
        <v/>
      </c>
      <c r="Y1038" s="86">
        <f t="shared" si="55"/>
        <v>6.0190334245307682</v>
      </c>
      <c r="Z1038" s="86" t="str">
        <f t="shared" si="56"/>
        <v/>
      </c>
      <c r="AA1038" s="44"/>
      <c r="AB1038" s="65"/>
    </row>
    <row r="1039" spans="1:28" hidden="1">
      <c r="A1039" s="751">
        <v>55041</v>
      </c>
      <c r="B1039" s="752" t="s">
        <v>35</v>
      </c>
      <c r="C1039" s="751" t="s">
        <v>2960</v>
      </c>
      <c r="D1039" s="752" t="s">
        <v>166</v>
      </c>
      <c r="E1039" s="752" t="s">
        <v>167</v>
      </c>
      <c r="F1039" s="751">
        <v>1616</v>
      </c>
      <c r="G1039" s="752" t="s">
        <v>83</v>
      </c>
      <c r="H1039" s="752" t="s">
        <v>1245</v>
      </c>
      <c r="I1039" s="752" t="s">
        <v>60</v>
      </c>
      <c r="J1039" s="751">
        <v>22</v>
      </c>
      <c r="K1039" s="751">
        <v>2</v>
      </c>
      <c r="L1039" s="752" t="s">
        <v>54</v>
      </c>
      <c r="M1039" s="752" t="s">
        <v>64</v>
      </c>
      <c r="N1039" s="752" t="s">
        <v>41</v>
      </c>
      <c r="O1039" s="752" t="s">
        <v>41</v>
      </c>
      <c r="P1039" s="752" t="s">
        <v>1091</v>
      </c>
      <c r="Q1039" s="753">
        <v>2668421</v>
      </c>
      <c r="R1039" s="753">
        <v>2668421</v>
      </c>
      <c r="S1039" s="753">
        <v>2745892</v>
      </c>
      <c r="T1039" s="753">
        <v>2745892</v>
      </c>
      <c r="U1039" s="753">
        <v>367488</v>
      </c>
      <c r="V1039" s="751">
        <v>2019</v>
      </c>
      <c r="W1039" s="222" t="s">
        <v>2666</v>
      </c>
      <c r="X1039" s="186">
        <f t="shared" si="57"/>
        <v>7.4720589515848133</v>
      </c>
      <c r="Y1039" s="86" t="str">
        <f t="shared" si="55"/>
        <v/>
      </c>
      <c r="Z1039" s="86" t="str">
        <f t="shared" si="56"/>
        <v/>
      </c>
      <c r="AA1039" s="44"/>
      <c r="AB1039" s="65"/>
    </row>
    <row r="1040" spans="1:28" hidden="1">
      <c r="A1040" s="751">
        <v>55042</v>
      </c>
      <c r="B1040" s="752" t="s">
        <v>35</v>
      </c>
      <c r="C1040" s="751" t="s">
        <v>2960</v>
      </c>
      <c r="D1040" s="752" t="s">
        <v>168</v>
      </c>
      <c r="E1040" s="752" t="s">
        <v>169</v>
      </c>
      <c r="F1040" s="751">
        <v>2232</v>
      </c>
      <c r="G1040" s="752" t="s">
        <v>43</v>
      </c>
      <c r="H1040" s="752" t="s">
        <v>1245</v>
      </c>
      <c r="I1040" s="752" t="s">
        <v>60</v>
      </c>
      <c r="J1040" s="751">
        <v>22</v>
      </c>
      <c r="K1040" s="751">
        <v>2</v>
      </c>
      <c r="L1040" s="752" t="s">
        <v>54</v>
      </c>
      <c r="M1040" s="752" t="s">
        <v>40</v>
      </c>
      <c r="N1040" s="752" t="s">
        <v>41</v>
      </c>
      <c r="O1040" s="752" t="s">
        <v>41</v>
      </c>
      <c r="P1040" s="752" t="s">
        <v>1091</v>
      </c>
      <c r="Q1040" s="753">
        <v>0</v>
      </c>
      <c r="R1040" s="753">
        <v>0</v>
      </c>
      <c r="S1040" s="753">
        <v>0</v>
      </c>
      <c r="T1040" s="753">
        <v>0</v>
      </c>
      <c r="U1040" s="753">
        <v>842165</v>
      </c>
      <c r="V1040" s="751">
        <v>2019</v>
      </c>
      <c r="W1040" s="222" t="s">
        <v>2666</v>
      </c>
      <c r="X1040" s="186" t="str">
        <f t="shared" si="57"/>
        <v/>
      </c>
      <c r="Y1040" s="178" t="str">
        <f t="shared" si="55"/>
        <v/>
      </c>
      <c r="Z1040" s="178" t="str">
        <f t="shared" si="56"/>
        <v/>
      </c>
      <c r="AA1040" s="44"/>
      <c r="AB1040" s="65"/>
    </row>
    <row r="1041" spans="1:28" hidden="1">
      <c r="A1041" s="751">
        <v>55042</v>
      </c>
      <c r="B1041" s="752" t="s">
        <v>35</v>
      </c>
      <c r="C1041" s="751" t="s">
        <v>2960</v>
      </c>
      <c r="D1041" s="752" t="s">
        <v>168</v>
      </c>
      <c r="E1041" s="752" t="s">
        <v>169</v>
      </c>
      <c r="F1041" s="751">
        <v>2232</v>
      </c>
      <c r="G1041" s="752" t="s">
        <v>43</v>
      </c>
      <c r="H1041" s="752" t="s">
        <v>1245</v>
      </c>
      <c r="I1041" s="752" t="s">
        <v>60</v>
      </c>
      <c r="J1041" s="751">
        <v>22</v>
      </c>
      <c r="K1041" s="751">
        <v>2</v>
      </c>
      <c r="L1041" s="752" t="s">
        <v>54</v>
      </c>
      <c r="M1041" s="752" t="s">
        <v>43</v>
      </c>
      <c r="N1041" s="752" t="s">
        <v>41</v>
      </c>
      <c r="O1041" s="752" t="s">
        <v>41</v>
      </c>
      <c r="P1041" s="752" t="s">
        <v>1091</v>
      </c>
      <c r="Q1041" s="753">
        <v>16891792</v>
      </c>
      <c r="R1041" s="753">
        <v>16891792</v>
      </c>
      <c r="S1041" s="753">
        <v>17418883</v>
      </c>
      <c r="T1041" s="753">
        <v>17418883</v>
      </c>
      <c r="U1041" s="753">
        <v>1620769</v>
      </c>
      <c r="V1041" s="751">
        <v>2019</v>
      </c>
      <c r="W1041" s="222" t="s">
        <v>2666</v>
      </c>
      <c r="X1041" s="186">
        <f t="shared" si="57"/>
        <v>10.747295265395623</v>
      </c>
      <c r="Y1041" s="86" t="str">
        <f t="shared" si="55"/>
        <v/>
      </c>
      <c r="Z1041" s="86" t="str">
        <f t="shared" si="56"/>
        <v/>
      </c>
      <c r="AA1041" s="44"/>
      <c r="AB1041" s="65"/>
    </row>
    <row r="1042" spans="1:28" hidden="1">
      <c r="A1042" s="751">
        <v>55048</v>
      </c>
      <c r="B1042" s="752" t="s">
        <v>35</v>
      </c>
      <c r="C1042" s="751" t="s">
        <v>2960</v>
      </c>
      <c r="D1042" s="752" t="s">
        <v>170</v>
      </c>
      <c r="E1042" s="752" t="s">
        <v>1262</v>
      </c>
      <c r="F1042" s="751">
        <v>55510</v>
      </c>
      <c r="G1042" s="752" t="s">
        <v>136</v>
      </c>
      <c r="H1042" s="752" t="s">
        <v>1245</v>
      </c>
      <c r="I1042" s="752" t="s">
        <v>60</v>
      </c>
      <c r="J1042" s="751">
        <v>22</v>
      </c>
      <c r="K1042" s="751">
        <v>2</v>
      </c>
      <c r="L1042" s="752" t="s">
        <v>54</v>
      </c>
      <c r="M1042" s="752" t="s">
        <v>40</v>
      </c>
      <c r="N1042" s="752" t="s">
        <v>41</v>
      </c>
      <c r="O1042" s="752" t="s">
        <v>41</v>
      </c>
      <c r="P1042" s="752" t="s">
        <v>1091</v>
      </c>
      <c r="Q1042" s="753">
        <v>0</v>
      </c>
      <c r="R1042" s="753">
        <v>0</v>
      </c>
      <c r="S1042" s="753">
        <v>0</v>
      </c>
      <c r="T1042" s="753">
        <v>0</v>
      </c>
      <c r="U1042" s="753">
        <v>391909</v>
      </c>
      <c r="V1042" s="751">
        <v>2019</v>
      </c>
      <c r="W1042" s="222" t="s">
        <v>2666</v>
      </c>
      <c r="X1042" s="186" t="str">
        <f t="shared" si="57"/>
        <v/>
      </c>
      <c r="Y1042" s="86" t="str">
        <f t="shared" si="55"/>
        <v/>
      </c>
      <c r="Z1042" s="86" t="str">
        <f t="shared" si="56"/>
        <v/>
      </c>
      <c r="AA1042" s="44"/>
      <c r="AB1042" s="65"/>
    </row>
    <row r="1043" spans="1:28" ht="12.75" hidden="1" customHeight="1">
      <c r="A1043" s="751">
        <v>55048</v>
      </c>
      <c r="B1043" s="752" t="s">
        <v>35</v>
      </c>
      <c r="C1043" s="751" t="s">
        <v>2960</v>
      </c>
      <c r="D1043" s="752" t="s">
        <v>170</v>
      </c>
      <c r="E1043" s="752" t="s">
        <v>1262</v>
      </c>
      <c r="F1043" s="751">
        <v>55510</v>
      </c>
      <c r="G1043" s="752" t="s">
        <v>136</v>
      </c>
      <c r="H1043" s="752" t="s">
        <v>1245</v>
      </c>
      <c r="I1043" s="752" t="s">
        <v>60</v>
      </c>
      <c r="J1043" s="751">
        <v>22</v>
      </c>
      <c r="K1043" s="751">
        <v>2</v>
      </c>
      <c r="L1043" s="752" t="s">
        <v>54</v>
      </c>
      <c r="M1043" s="752" t="s">
        <v>43</v>
      </c>
      <c r="N1043" s="752" t="s">
        <v>41</v>
      </c>
      <c r="O1043" s="752" t="s">
        <v>41</v>
      </c>
      <c r="P1043" s="752" t="s">
        <v>1091</v>
      </c>
      <c r="Q1043" s="753">
        <v>7958298</v>
      </c>
      <c r="R1043" s="753">
        <v>7958298</v>
      </c>
      <c r="S1043" s="753">
        <v>8177619</v>
      </c>
      <c r="T1043" s="753">
        <v>8177619</v>
      </c>
      <c r="U1043" s="753">
        <v>748251</v>
      </c>
      <c r="V1043" s="751">
        <v>2019</v>
      </c>
      <c r="W1043" s="222" t="s">
        <v>2666</v>
      </c>
      <c r="X1043" s="186">
        <f t="shared" si="57"/>
        <v>10.928978377576508</v>
      </c>
      <c r="Y1043" s="86" t="str">
        <f t="shared" si="55"/>
        <v/>
      </c>
      <c r="Z1043" s="86" t="str">
        <f t="shared" si="56"/>
        <v/>
      </c>
      <c r="AA1043" s="44"/>
      <c r="AB1043" s="65"/>
    </row>
    <row r="1044" spans="1:28" ht="12.75" hidden="1" customHeight="1">
      <c r="A1044" s="751">
        <v>55068</v>
      </c>
      <c r="B1044" s="752" t="s">
        <v>35</v>
      </c>
      <c r="C1044" s="751" t="s">
        <v>2960</v>
      </c>
      <c r="D1044" s="752" t="s">
        <v>171</v>
      </c>
      <c r="E1044" s="752" t="s">
        <v>172</v>
      </c>
      <c r="F1044" s="751">
        <v>4966</v>
      </c>
      <c r="G1044" s="752" t="s">
        <v>92</v>
      </c>
      <c r="H1044" s="752" t="s">
        <v>1245</v>
      </c>
      <c r="I1044" s="752" t="s">
        <v>60</v>
      </c>
      <c r="J1044" s="751">
        <v>22</v>
      </c>
      <c r="K1044" s="751">
        <v>2</v>
      </c>
      <c r="L1044" s="752" t="s">
        <v>54</v>
      </c>
      <c r="M1044" s="752" t="s">
        <v>40</v>
      </c>
      <c r="N1044" s="752" t="s">
        <v>41</v>
      </c>
      <c r="O1044" s="752" t="s">
        <v>41</v>
      </c>
      <c r="P1044" s="752" t="s">
        <v>1091</v>
      </c>
      <c r="Q1044" s="753">
        <v>0</v>
      </c>
      <c r="R1044" s="753">
        <v>0</v>
      </c>
      <c r="S1044" s="753">
        <v>0</v>
      </c>
      <c r="T1044" s="753">
        <v>0</v>
      </c>
      <c r="U1044" s="753">
        <v>109999</v>
      </c>
      <c r="V1044" s="751">
        <v>2019</v>
      </c>
      <c r="W1044" s="222" t="s">
        <v>2666</v>
      </c>
      <c r="X1044" s="186" t="str">
        <f t="shared" si="57"/>
        <v/>
      </c>
      <c r="Y1044" s="178" t="str">
        <f t="shared" si="55"/>
        <v/>
      </c>
      <c r="Z1044" s="178" t="str">
        <f t="shared" si="56"/>
        <v/>
      </c>
      <c r="AA1044" s="44"/>
      <c r="AB1044" s="65"/>
    </row>
    <row r="1045" spans="1:28" ht="12.75" hidden="1" customHeight="1">
      <c r="A1045" s="751">
        <v>55068</v>
      </c>
      <c r="B1045" s="752" t="s">
        <v>35</v>
      </c>
      <c r="C1045" s="751" t="s">
        <v>2960</v>
      </c>
      <c r="D1045" s="752" t="s">
        <v>171</v>
      </c>
      <c r="E1045" s="752" t="s">
        <v>172</v>
      </c>
      <c r="F1045" s="751">
        <v>4966</v>
      </c>
      <c r="G1045" s="752" t="s">
        <v>92</v>
      </c>
      <c r="H1045" s="752" t="s">
        <v>1245</v>
      </c>
      <c r="I1045" s="752" t="s">
        <v>60</v>
      </c>
      <c r="J1045" s="751">
        <v>22</v>
      </c>
      <c r="K1045" s="751">
        <v>2</v>
      </c>
      <c r="L1045" s="752" t="s">
        <v>54</v>
      </c>
      <c r="M1045" s="752" t="s">
        <v>43</v>
      </c>
      <c r="N1045" s="752" t="s">
        <v>41</v>
      </c>
      <c r="O1045" s="752" t="s">
        <v>41</v>
      </c>
      <c r="P1045" s="752" t="s">
        <v>1091</v>
      </c>
      <c r="Q1045" s="753">
        <v>2068095</v>
      </c>
      <c r="R1045" s="753">
        <v>2068095</v>
      </c>
      <c r="S1045" s="753">
        <v>2147510</v>
      </c>
      <c r="T1045" s="753">
        <v>2147510</v>
      </c>
      <c r="U1045" s="753">
        <v>163977</v>
      </c>
      <c r="V1045" s="751">
        <v>2019</v>
      </c>
      <c r="W1045" s="222" t="s">
        <v>2666</v>
      </c>
      <c r="X1045" s="186">
        <f t="shared" si="57"/>
        <v>13.096409862358746</v>
      </c>
      <c r="Y1045" s="178" t="str">
        <f t="shared" si="55"/>
        <v/>
      </c>
      <c r="Z1045" s="178" t="str">
        <f t="shared" si="56"/>
        <v/>
      </c>
      <c r="AA1045" s="44"/>
      <c r="AB1045" s="65"/>
    </row>
    <row r="1046" spans="1:28" ht="12.75" hidden="1" customHeight="1">
      <c r="A1046" s="751">
        <v>55079</v>
      </c>
      <c r="B1046" s="752" t="s">
        <v>35</v>
      </c>
      <c r="C1046" s="751" t="s">
        <v>2960</v>
      </c>
      <c r="D1046" s="752" t="s">
        <v>173</v>
      </c>
      <c r="E1046" s="752" t="s">
        <v>174</v>
      </c>
      <c r="F1046" s="751">
        <v>12713</v>
      </c>
      <c r="G1046" s="752" t="s">
        <v>83</v>
      </c>
      <c r="H1046" s="752" t="s">
        <v>1245</v>
      </c>
      <c r="I1046" s="752" t="s">
        <v>60</v>
      </c>
      <c r="J1046" s="751">
        <v>22</v>
      </c>
      <c r="K1046" s="751">
        <v>2</v>
      </c>
      <c r="L1046" s="752" t="s">
        <v>54</v>
      </c>
      <c r="M1046" s="752" t="s">
        <v>40</v>
      </c>
      <c r="N1046" s="752" t="s">
        <v>48</v>
      </c>
      <c r="O1046" s="752" t="s">
        <v>48</v>
      </c>
      <c r="P1046" s="752" t="s">
        <v>49</v>
      </c>
      <c r="Q1046" s="753">
        <v>0</v>
      </c>
      <c r="R1046" s="753">
        <v>0</v>
      </c>
      <c r="S1046" s="753">
        <v>0</v>
      </c>
      <c r="T1046" s="753">
        <v>0</v>
      </c>
      <c r="U1046" s="753">
        <v>0</v>
      </c>
      <c r="V1046" s="751">
        <v>2019</v>
      </c>
      <c r="W1046" s="222" t="s">
        <v>2666</v>
      </c>
      <c r="X1046" s="186" t="str">
        <f t="shared" si="57"/>
        <v/>
      </c>
      <c r="Y1046" s="178" t="str">
        <f t="shared" si="55"/>
        <v/>
      </c>
      <c r="Z1046" s="178" t="str">
        <f t="shared" si="56"/>
        <v/>
      </c>
      <c r="AA1046" s="44"/>
      <c r="AB1046" s="65"/>
    </row>
    <row r="1047" spans="1:28" ht="12.75" hidden="1" customHeight="1">
      <c r="A1047" s="751">
        <v>55079</v>
      </c>
      <c r="B1047" s="752" t="s">
        <v>35</v>
      </c>
      <c r="C1047" s="751" t="s">
        <v>2960</v>
      </c>
      <c r="D1047" s="752" t="s">
        <v>173</v>
      </c>
      <c r="E1047" s="752" t="s">
        <v>174</v>
      </c>
      <c r="F1047" s="751">
        <v>12713</v>
      </c>
      <c r="G1047" s="752" t="s">
        <v>83</v>
      </c>
      <c r="H1047" s="752" t="s">
        <v>1245</v>
      </c>
      <c r="I1047" s="752" t="s">
        <v>60</v>
      </c>
      <c r="J1047" s="751">
        <v>22</v>
      </c>
      <c r="K1047" s="751">
        <v>2</v>
      </c>
      <c r="L1047" s="752" t="s">
        <v>54</v>
      </c>
      <c r="M1047" s="752" t="s">
        <v>40</v>
      </c>
      <c r="N1047" s="752" t="s">
        <v>41</v>
      </c>
      <c r="O1047" s="752" t="s">
        <v>41</v>
      </c>
      <c r="P1047" s="752" t="s">
        <v>1091</v>
      </c>
      <c r="Q1047" s="753">
        <v>0</v>
      </c>
      <c r="R1047" s="753">
        <v>0</v>
      </c>
      <c r="S1047" s="753">
        <v>0</v>
      </c>
      <c r="T1047" s="753">
        <v>0</v>
      </c>
      <c r="U1047" s="753">
        <v>329064</v>
      </c>
      <c r="V1047" s="751">
        <v>2019</v>
      </c>
      <c r="W1047" s="222" t="s">
        <v>2666</v>
      </c>
      <c r="X1047" s="186" t="str">
        <f t="shared" si="57"/>
        <v/>
      </c>
      <c r="Y1047" s="178" t="str">
        <f t="shared" si="55"/>
        <v/>
      </c>
      <c r="Z1047" s="178" t="str">
        <f t="shared" si="56"/>
        <v/>
      </c>
      <c r="AA1047" s="44"/>
      <c r="AB1047" s="65"/>
    </row>
    <row r="1048" spans="1:28" hidden="1">
      <c r="A1048" s="751">
        <v>55079</v>
      </c>
      <c r="B1048" s="752" t="s">
        <v>35</v>
      </c>
      <c r="C1048" s="751" t="s">
        <v>2960</v>
      </c>
      <c r="D1048" s="752" t="s">
        <v>173</v>
      </c>
      <c r="E1048" s="752" t="s">
        <v>174</v>
      </c>
      <c r="F1048" s="751">
        <v>12713</v>
      </c>
      <c r="G1048" s="752" t="s">
        <v>83</v>
      </c>
      <c r="H1048" s="752" t="s">
        <v>1245</v>
      </c>
      <c r="I1048" s="752" t="s">
        <v>60</v>
      </c>
      <c r="J1048" s="751">
        <v>22</v>
      </c>
      <c r="K1048" s="751">
        <v>2</v>
      </c>
      <c r="L1048" s="752" t="s">
        <v>54</v>
      </c>
      <c r="M1048" s="752" t="s">
        <v>43</v>
      </c>
      <c r="N1048" s="752" t="s">
        <v>48</v>
      </c>
      <c r="O1048" s="752" t="s">
        <v>48</v>
      </c>
      <c r="P1048" s="752" t="s">
        <v>49</v>
      </c>
      <c r="Q1048" s="753">
        <v>0</v>
      </c>
      <c r="R1048" s="753">
        <v>0</v>
      </c>
      <c r="S1048" s="753">
        <v>0</v>
      </c>
      <c r="T1048" s="753">
        <v>0</v>
      </c>
      <c r="U1048" s="753">
        <v>0</v>
      </c>
      <c r="V1048" s="751">
        <v>2019</v>
      </c>
      <c r="W1048" s="222" t="s">
        <v>2666</v>
      </c>
      <c r="X1048" s="186" t="str">
        <f t="shared" si="57"/>
        <v/>
      </c>
      <c r="Y1048" s="86" t="str">
        <f t="shared" si="55"/>
        <v/>
      </c>
      <c r="Z1048" s="86" t="str">
        <f t="shared" si="56"/>
        <v/>
      </c>
      <c r="AA1048" s="44"/>
      <c r="AB1048" s="65"/>
    </row>
    <row r="1049" spans="1:28" hidden="1">
      <c r="A1049" s="751">
        <v>55079</v>
      </c>
      <c r="B1049" s="752" t="s">
        <v>35</v>
      </c>
      <c r="C1049" s="751" t="s">
        <v>2960</v>
      </c>
      <c r="D1049" s="752" t="s">
        <v>173</v>
      </c>
      <c r="E1049" s="752" t="s">
        <v>174</v>
      </c>
      <c r="F1049" s="751">
        <v>12713</v>
      </c>
      <c r="G1049" s="752" t="s">
        <v>83</v>
      </c>
      <c r="H1049" s="752" t="s">
        <v>1245</v>
      </c>
      <c r="I1049" s="752" t="s">
        <v>60</v>
      </c>
      <c r="J1049" s="751">
        <v>22</v>
      </c>
      <c r="K1049" s="751">
        <v>2</v>
      </c>
      <c r="L1049" s="752" t="s">
        <v>54</v>
      </c>
      <c r="M1049" s="752" t="s">
        <v>43</v>
      </c>
      <c r="N1049" s="752" t="s">
        <v>41</v>
      </c>
      <c r="O1049" s="752" t="s">
        <v>41</v>
      </c>
      <c r="P1049" s="752" t="s">
        <v>1091</v>
      </c>
      <c r="Q1049" s="753">
        <v>6425378</v>
      </c>
      <c r="R1049" s="753">
        <v>6425378</v>
      </c>
      <c r="S1049" s="753">
        <v>6617170</v>
      </c>
      <c r="T1049" s="753">
        <v>6617170</v>
      </c>
      <c r="U1049" s="753">
        <v>573761</v>
      </c>
      <c r="V1049" s="751">
        <v>2019</v>
      </c>
      <c r="W1049" s="222" t="s">
        <v>2666</v>
      </c>
      <c r="X1049" s="186">
        <f t="shared" si="57"/>
        <v>11.53297278832127</v>
      </c>
      <c r="Y1049" s="178" t="str">
        <f t="shared" si="55"/>
        <v/>
      </c>
      <c r="Z1049" s="178" t="str">
        <f t="shared" si="56"/>
        <v/>
      </c>
      <c r="AA1049" s="44"/>
      <c r="AB1049" s="65"/>
    </row>
    <row r="1050" spans="1:28" hidden="1">
      <c r="A1050" s="751">
        <v>55093</v>
      </c>
      <c r="B1050" s="752" t="s">
        <v>35</v>
      </c>
      <c r="C1050" s="751" t="s">
        <v>2960</v>
      </c>
      <c r="D1050" s="752" t="s">
        <v>1176</v>
      </c>
      <c r="E1050" s="752" t="s">
        <v>1177</v>
      </c>
      <c r="F1050" s="751">
        <v>57226</v>
      </c>
      <c r="G1050" s="752" t="s">
        <v>83</v>
      </c>
      <c r="H1050" s="752" t="s">
        <v>1245</v>
      </c>
      <c r="I1050" s="752" t="s">
        <v>60</v>
      </c>
      <c r="J1050" s="751">
        <v>22</v>
      </c>
      <c r="K1050" s="751">
        <v>2</v>
      </c>
      <c r="L1050" s="752" t="s">
        <v>54</v>
      </c>
      <c r="M1050" s="752" t="s">
        <v>53</v>
      </c>
      <c r="N1050" s="752" t="s">
        <v>65</v>
      </c>
      <c r="O1050" s="752" t="s">
        <v>66</v>
      </c>
      <c r="P1050" s="752" t="s">
        <v>1091</v>
      </c>
      <c r="Q1050" s="753">
        <v>374545</v>
      </c>
      <c r="R1050" s="753">
        <v>374545</v>
      </c>
      <c r="S1050" s="753">
        <v>176410</v>
      </c>
      <c r="T1050" s="753">
        <v>176410</v>
      </c>
      <c r="U1050" s="753">
        <v>13996</v>
      </c>
      <c r="V1050" s="751">
        <v>2019</v>
      </c>
      <c r="W1050" s="222"/>
      <c r="X1050" s="186">
        <f t="shared" si="57"/>
        <v>12.604315518719634</v>
      </c>
      <c r="Y1050" s="178" t="str">
        <f t="shared" si="55"/>
        <v/>
      </c>
      <c r="Z1050" s="178" t="str">
        <f t="shared" si="56"/>
        <v/>
      </c>
      <c r="AA1050" s="44"/>
      <c r="AB1050" s="65"/>
    </row>
    <row r="1051" spans="1:28" hidden="1">
      <c r="A1051" s="751">
        <v>55100</v>
      </c>
      <c r="B1051" s="752" t="s">
        <v>35</v>
      </c>
      <c r="C1051" s="751" t="s">
        <v>2960</v>
      </c>
      <c r="D1051" s="752" t="s">
        <v>2975</v>
      </c>
      <c r="E1051" s="752" t="s">
        <v>175</v>
      </c>
      <c r="F1051" s="751">
        <v>54821</v>
      </c>
      <c r="G1051" s="752" t="s">
        <v>92</v>
      </c>
      <c r="H1051" s="752" t="s">
        <v>1245</v>
      </c>
      <c r="I1051" s="752" t="s">
        <v>60</v>
      </c>
      <c r="J1051" s="751">
        <v>22</v>
      </c>
      <c r="K1051" s="751">
        <v>2</v>
      </c>
      <c r="L1051" s="752" t="s">
        <v>54</v>
      </c>
      <c r="M1051" s="752" t="s">
        <v>40</v>
      </c>
      <c r="N1051" s="752" t="s">
        <v>41</v>
      </c>
      <c r="O1051" s="752" t="s">
        <v>41</v>
      </c>
      <c r="P1051" s="752" t="s">
        <v>1091</v>
      </c>
      <c r="Q1051" s="753">
        <v>0</v>
      </c>
      <c r="R1051" s="753">
        <v>0</v>
      </c>
      <c r="S1051" s="753">
        <v>0</v>
      </c>
      <c r="T1051" s="753">
        <v>0</v>
      </c>
      <c r="U1051" s="753">
        <v>23905</v>
      </c>
      <c r="V1051" s="751">
        <v>2019</v>
      </c>
      <c r="W1051" s="222" t="s">
        <v>2666</v>
      </c>
      <c r="X1051" s="186" t="str">
        <f t="shared" si="57"/>
        <v/>
      </c>
      <c r="Y1051" s="178" t="str">
        <f t="shared" si="55"/>
        <v/>
      </c>
      <c r="Z1051" s="178" t="str">
        <f t="shared" si="56"/>
        <v/>
      </c>
      <c r="AA1051" s="44"/>
      <c r="AB1051" s="65"/>
    </row>
    <row r="1052" spans="1:28" hidden="1">
      <c r="A1052" s="751">
        <v>55100</v>
      </c>
      <c r="B1052" s="752" t="s">
        <v>35</v>
      </c>
      <c r="C1052" s="751" t="s">
        <v>2960</v>
      </c>
      <c r="D1052" s="752" t="s">
        <v>2975</v>
      </c>
      <c r="E1052" s="752" t="s">
        <v>175</v>
      </c>
      <c r="F1052" s="751">
        <v>54821</v>
      </c>
      <c r="G1052" s="752" t="s">
        <v>92</v>
      </c>
      <c r="H1052" s="752" t="s">
        <v>1245</v>
      </c>
      <c r="I1052" s="752" t="s">
        <v>60</v>
      </c>
      <c r="J1052" s="751">
        <v>22</v>
      </c>
      <c r="K1052" s="751">
        <v>2</v>
      </c>
      <c r="L1052" s="752" t="s">
        <v>54</v>
      </c>
      <c r="M1052" s="752" t="s">
        <v>43</v>
      </c>
      <c r="N1052" s="752" t="s">
        <v>41</v>
      </c>
      <c r="O1052" s="752" t="s">
        <v>41</v>
      </c>
      <c r="P1052" s="752" t="s">
        <v>1091</v>
      </c>
      <c r="Q1052" s="753">
        <v>483986</v>
      </c>
      <c r="R1052" s="753">
        <v>483986</v>
      </c>
      <c r="S1052" s="753">
        <v>497842</v>
      </c>
      <c r="T1052" s="753">
        <v>497842</v>
      </c>
      <c r="U1052" s="753">
        <v>38511</v>
      </c>
      <c r="V1052" s="751">
        <v>2019</v>
      </c>
      <c r="W1052" s="222" t="s">
        <v>2666</v>
      </c>
      <c r="X1052" s="186">
        <f t="shared" si="57"/>
        <v>12.927267533951339</v>
      </c>
      <c r="Y1052" s="178" t="str">
        <f t="shared" si="55"/>
        <v/>
      </c>
      <c r="Z1052" s="178" t="str">
        <f t="shared" si="56"/>
        <v/>
      </c>
      <c r="AA1052" s="44"/>
      <c r="AB1052" s="65"/>
    </row>
    <row r="1053" spans="1:28" hidden="1">
      <c r="A1053" s="751">
        <v>55107</v>
      </c>
      <c r="B1053" s="752" t="s">
        <v>35</v>
      </c>
      <c r="C1053" s="751" t="s">
        <v>2960</v>
      </c>
      <c r="D1053" s="752" t="s">
        <v>1912</v>
      </c>
      <c r="E1053" s="752" t="s">
        <v>2464</v>
      </c>
      <c r="F1053" s="751">
        <v>6832</v>
      </c>
      <c r="G1053" s="752" t="s">
        <v>136</v>
      </c>
      <c r="H1053" s="752" t="s">
        <v>1245</v>
      </c>
      <c r="I1053" s="752" t="s">
        <v>60</v>
      </c>
      <c r="J1053" s="751">
        <v>22</v>
      </c>
      <c r="K1053" s="751">
        <v>2</v>
      </c>
      <c r="L1053" s="752" t="s">
        <v>54</v>
      </c>
      <c r="M1053" s="752" t="s">
        <v>40</v>
      </c>
      <c r="N1053" s="752" t="s">
        <v>41</v>
      </c>
      <c r="O1053" s="752" t="s">
        <v>41</v>
      </c>
      <c r="P1053" s="752" t="s">
        <v>1091</v>
      </c>
      <c r="Q1053" s="753">
        <v>218485</v>
      </c>
      <c r="R1053" s="753">
        <v>218485</v>
      </c>
      <c r="S1053" s="753">
        <v>225123</v>
      </c>
      <c r="T1053" s="753">
        <v>225123</v>
      </c>
      <c r="U1053" s="753">
        <v>1109767</v>
      </c>
      <c r="V1053" s="751">
        <v>2019</v>
      </c>
      <c r="W1053" s="222" t="s">
        <v>2666</v>
      </c>
      <c r="X1053" s="186">
        <f t="shared" si="57"/>
        <v>0.20285609501814345</v>
      </c>
      <c r="Y1053" s="178" t="str">
        <f t="shared" si="55"/>
        <v/>
      </c>
      <c r="Z1053" s="178" t="str">
        <f t="shared" si="56"/>
        <v/>
      </c>
      <c r="AA1053" s="44"/>
      <c r="AB1053" s="65"/>
    </row>
    <row r="1054" spans="1:28" hidden="1">
      <c r="A1054" s="751">
        <v>55107</v>
      </c>
      <c r="B1054" s="752" t="s">
        <v>35</v>
      </c>
      <c r="C1054" s="751" t="s">
        <v>2960</v>
      </c>
      <c r="D1054" s="752" t="s">
        <v>1912</v>
      </c>
      <c r="E1054" s="752" t="s">
        <v>2464</v>
      </c>
      <c r="F1054" s="751">
        <v>6832</v>
      </c>
      <c r="G1054" s="752" t="s">
        <v>136</v>
      </c>
      <c r="H1054" s="752" t="s">
        <v>1245</v>
      </c>
      <c r="I1054" s="752" t="s">
        <v>60</v>
      </c>
      <c r="J1054" s="751">
        <v>22</v>
      </c>
      <c r="K1054" s="751">
        <v>2</v>
      </c>
      <c r="L1054" s="752" t="s">
        <v>54</v>
      </c>
      <c r="M1054" s="752" t="s">
        <v>43</v>
      </c>
      <c r="N1054" s="752" t="s">
        <v>41</v>
      </c>
      <c r="O1054" s="752" t="s">
        <v>41</v>
      </c>
      <c r="P1054" s="752" t="s">
        <v>1091</v>
      </c>
      <c r="Q1054" s="753">
        <v>21016872</v>
      </c>
      <c r="R1054" s="753">
        <v>21016872</v>
      </c>
      <c r="S1054" s="753">
        <v>21654035</v>
      </c>
      <c r="T1054" s="753">
        <v>21654035</v>
      </c>
      <c r="U1054" s="753">
        <v>1969240</v>
      </c>
      <c r="V1054" s="751">
        <v>2019</v>
      </c>
      <c r="W1054" s="222" t="s">
        <v>2666</v>
      </c>
      <c r="X1054" s="186">
        <f t="shared" si="57"/>
        <v>10.996138104040137</v>
      </c>
      <c r="Y1054" s="178" t="str">
        <f t="shared" si="55"/>
        <v/>
      </c>
      <c r="Z1054" s="178" t="str">
        <f t="shared" si="56"/>
        <v/>
      </c>
      <c r="AA1054" s="44"/>
      <c r="AB1054" s="65"/>
    </row>
    <row r="1055" spans="1:28" hidden="1">
      <c r="A1055" s="751">
        <v>55126</v>
      </c>
      <c r="B1055" s="752" t="s">
        <v>35</v>
      </c>
      <c r="C1055" s="751" t="s">
        <v>2960</v>
      </c>
      <c r="D1055" s="752" t="s">
        <v>176</v>
      </c>
      <c r="E1055" s="752" t="s">
        <v>177</v>
      </c>
      <c r="F1055" s="751">
        <v>12568</v>
      </c>
      <c r="G1055" s="752" t="s">
        <v>43</v>
      </c>
      <c r="H1055" s="752" t="s">
        <v>1245</v>
      </c>
      <c r="I1055" s="752" t="s">
        <v>60</v>
      </c>
      <c r="J1055" s="751">
        <v>22</v>
      </c>
      <c r="K1055" s="751">
        <v>2</v>
      </c>
      <c r="L1055" s="752" t="s">
        <v>54</v>
      </c>
      <c r="M1055" s="752" t="s">
        <v>64</v>
      </c>
      <c r="N1055" s="752" t="s">
        <v>41</v>
      </c>
      <c r="O1055" s="752" t="s">
        <v>41</v>
      </c>
      <c r="P1055" s="752" t="s">
        <v>1091</v>
      </c>
      <c r="Q1055" s="753">
        <v>26374849</v>
      </c>
      <c r="R1055" s="753">
        <v>26374849</v>
      </c>
      <c r="S1055" s="753">
        <v>27178978</v>
      </c>
      <c r="T1055" s="753">
        <v>27178978</v>
      </c>
      <c r="U1055" s="753">
        <v>3713789</v>
      </c>
      <c r="V1055" s="751">
        <v>2019</v>
      </c>
      <c r="W1055" s="222" t="s">
        <v>2666</v>
      </c>
      <c r="X1055" s="186">
        <f t="shared" si="57"/>
        <v>7.318395848552516</v>
      </c>
      <c r="Y1055" s="178" t="str">
        <f t="shared" si="55"/>
        <v/>
      </c>
      <c r="Z1055" s="178" t="str">
        <f t="shared" si="56"/>
        <v/>
      </c>
      <c r="AA1055" s="44"/>
      <c r="AB1055" s="65"/>
    </row>
    <row r="1056" spans="1:28" hidden="1">
      <c r="A1056" s="751">
        <v>55126</v>
      </c>
      <c r="B1056" s="752" t="s">
        <v>35</v>
      </c>
      <c r="C1056" s="751" t="s">
        <v>2960</v>
      </c>
      <c r="D1056" s="752" t="s">
        <v>176</v>
      </c>
      <c r="E1056" s="752" t="s">
        <v>177</v>
      </c>
      <c r="F1056" s="751">
        <v>12568</v>
      </c>
      <c r="G1056" s="752" t="s">
        <v>43</v>
      </c>
      <c r="H1056" s="752" t="s">
        <v>1245</v>
      </c>
      <c r="I1056" s="752" t="s">
        <v>60</v>
      </c>
      <c r="J1056" s="751">
        <v>22</v>
      </c>
      <c r="K1056" s="751">
        <v>2</v>
      </c>
      <c r="L1056" s="752" t="s">
        <v>54</v>
      </c>
      <c r="M1056" s="752" t="s">
        <v>64</v>
      </c>
      <c r="N1056" s="752" t="s">
        <v>439</v>
      </c>
      <c r="O1056" s="752" t="s">
        <v>69</v>
      </c>
      <c r="P1056" s="752" t="s">
        <v>1091</v>
      </c>
      <c r="Q1056" s="753">
        <v>0</v>
      </c>
      <c r="R1056" s="753">
        <v>0</v>
      </c>
      <c r="S1056" s="753">
        <v>0</v>
      </c>
      <c r="T1056" s="753">
        <v>0</v>
      </c>
      <c r="U1056" s="753">
        <v>0</v>
      </c>
      <c r="V1056" s="751">
        <v>2019</v>
      </c>
      <c r="W1056" s="222" t="s">
        <v>2666</v>
      </c>
      <c r="X1056" s="186" t="str">
        <f t="shared" si="57"/>
        <v/>
      </c>
      <c r="Y1056" s="178" t="str">
        <f t="shared" si="55"/>
        <v/>
      </c>
      <c r="Z1056" s="178" t="str">
        <f t="shared" si="56"/>
        <v/>
      </c>
      <c r="AA1056" s="44"/>
      <c r="AB1056" s="65"/>
    </row>
    <row r="1057" spans="1:28" hidden="1">
      <c r="A1057" s="751">
        <v>55149</v>
      </c>
      <c r="B1057" s="752" t="s">
        <v>35</v>
      </c>
      <c r="C1057" s="751" t="s">
        <v>2960</v>
      </c>
      <c r="D1057" s="752" t="s">
        <v>178</v>
      </c>
      <c r="E1057" s="752" t="s">
        <v>179</v>
      </c>
      <c r="F1057" s="751">
        <v>10576</v>
      </c>
      <c r="G1057" s="752" t="s">
        <v>43</v>
      </c>
      <c r="H1057" s="752" t="s">
        <v>1245</v>
      </c>
      <c r="I1057" s="752" t="s">
        <v>60</v>
      </c>
      <c r="J1057" s="751">
        <v>22</v>
      </c>
      <c r="K1057" s="751">
        <v>2</v>
      </c>
      <c r="L1057" s="752" t="s">
        <v>54</v>
      </c>
      <c r="M1057" s="752" t="s">
        <v>64</v>
      </c>
      <c r="N1057" s="752" t="s">
        <v>41</v>
      </c>
      <c r="O1057" s="752" t="s">
        <v>41</v>
      </c>
      <c r="P1057" s="752" t="s">
        <v>1091</v>
      </c>
      <c r="Q1057" s="753">
        <v>38685355</v>
      </c>
      <c r="R1057" s="753">
        <v>38685355</v>
      </c>
      <c r="S1057" s="753">
        <v>39730213</v>
      </c>
      <c r="T1057" s="753">
        <v>39730213</v>
      </c>
      <c r="U1057" s="753">
        <v>5322170</v>
      </c>
      <c r="V1057" s="751">
        <v>2019</v>
      </c>
      <c r="W1057" s="222" t="s">
        <v>2666</v>
      </c>
      <c r="X1057" s="186">
        <f t="shared" si="57"/>
        <v>7.4650401997681399</v>
      </c>
      <c r="Y1057" s="86" t="str">
        <f t="shared" si="55"/>
        <v/>
      </c>
      <c r="Z1057" s="86" t="str">
        <f t="shared" si="56"/>
        <v/>
      </c>
      <c r="AA1057" s="44"/>
      <c r="AB1057" s="65"/>
    </row>
    <row r="1058" spans="1:28" hidden="1">
      <c r="A1058" s="751">
        <v>55149</v>
      </c>
      <c r="B1058" s="752" t="s">
        <v>35</v>
      </c>
      <c r="C1058" s="751" t="s">
        <v>2960</v>
      </c>
      <c r="D1058" s="752" t="s">
        <v>178</v>
      </c>
      <c r="E1058" s="752" t="s">
        <v>179</v>
      </c>
      <c r="F1058" s="751">
        <v>10576</v>
      </c>
      <c r="G1058" s="752" t="s">
        <v>43</v>
      </c>
      <c r="H1058" s="752" t="s">
        <v>1245</v>
      </c>
      <c r="I1058" s="752" t="s">
        <v>60</v>
      </c>
      <c r="J1058" s="751">
        <v>22</v>
      </c>
      <c r="K1058" s="751">
        <v>2</v>
      </c>
      <c r="L1058" s="752" t="s">
        <v>54</v>
      </c>
      <c r="M1058" s="752" t="s">
        <v>64</v>
      </c>
      <c r="N1058" s="752" t="s">
        <v>439</v>
      </c>
      <c r="O1058" s="752" t="s">
        <v>69</v>
      </c>
      <c r="P1058" s="752" t="s">
        <v>1091</v>
      </c>
      <c r="Q1058" s="753">
        <v>0</v>
      </c>
      <c r="R1058" s="753">
        <v>0</v>
      </c>
      <c r="S1058" s="753">
        <v>0</v>
      </c>
      <c r="T1058" s="753">
        <v>0</v>
      </c>
      <c r="U1058" s="753">
        <v>0</v>
      </c>
      <c r="V1058" s="751">
        <v>2019</v>
      </c>
      <c r="W1058" s="222" t="s">
        <v>2666</v>
      </c>
      <c r="X1058" s="186" t="str">
        <f t="shared" si="57"/>
        <v/>
      </c>
      <c r="Y1058" s="86" t="str">
        <f t="shared" si="55"/>
        <v/>
      </c>
      <c r="Z1058" s="86" t="str">
        <f t="shared" si="56"/>
        <v/>
      </c>
      <c r="AA1058" s="44"/>
      <c r="AB1058" s="65"/>
    </row>
    <row r="1059" spans="1:28" hidden="1">
      <c r="A1059" s="751">
        <v>55155</v>
      </c>
      <c r="B1059" s="752" t="s">
        <v>35</v>
      </c>
      <c r="C1059" s="751" t="s">
        <v>2960</v>
      </c>
      <c r="D1059" s="752" t="s">
        <v>1178</v>
      </c>
      <c r="E1059" s="752" t="s">
        <v>1179</v>
      </c>
      <c r="F1059" s="751">
        <v>57229</v>
      </c>
      <c r="G1059" s="752" t="s">
        <v>59</v>
      </c>
      <c r="H1059" s="752" t="s">
        <v>1244</v>
      </c>
      <c r="I1059" s="752" t="s">
        <v>60</v>
      </c>
      <c r="J1059" s="751">
        <v>22</v>
      </c>
      <c r="K1059" s="751">
        <v>2</v>
      </c>
      <c r="L1059" s="752" t="s">
        <v>54</v>
      </c>
      <c r="M1059" s="752" t="s">
        <v>53</v>
      </c>
      <c r="N1059" s="752" t="s">
        <v>65</v>
      </c>
      <c r="O1059" s="752" t="s">
        <v>66</v>
      </c>
      <c r="P1059" s="752" t="s">
        <v>1091</v>
      </c>
      <c r="Q1059" s="753">
        <v>276194</v>
      </c>
      <c r="R1059" s="753">
        <v>276194</v>
      </c>
      <c r="S1059" s="753">
        <v>132850</v>
      </c>
      <c r="T1059" s="753">
        <v>132850</v>
      </c>
      <c r="U1059" s="753">
        <v>11921</v>
      </c>
      <c r="V1059" s="751">
        <v>2019</v>
      </c>
      <c r="W1059" s="222"/>
      <c r="X1059" s="186">
        <f t="shared" si="57"/>
        <v>11.144199312138243</v>
      </c>
      <c r="Y1059" s="86" t="str">
        <f t="shared" si="55"/>
        <v/>
      </c>
      <c r="Z1059" s="86" t="str">
        <f t="shared" si="56"/>
        <v/>
      </c>
      <c r="AA1059" s="44"/>
      <c r="AB1059" s="65"/>
    </row>
    <row r="1060" spans="1:28" hidden="1">
      <c r="A1060" s="751">
        <v>55170</v>
      </c>
      <c r="B1060" s="752" t="s">
        <v>35</v>
      </c>
      <c r="C1060" s="751" t="s">
        <v>2960</v>
      </c>
      <c r="D1060" s="752" t="s">
        <v>180</v>
      </c>
      <c r="E1060" s="752" t="s">
        <v>181</v>
      </c>
      <c r="F1060" s="751">
        <v>88</v>
      </c>
      <c r="G1060" s="752" t="s">
        <v>98</v>
      </c>
      <c r="H1060" s="752" t="s">
        <v>1245</v>
      </c>
      <c r="I1060" s="752" t="s">
        <v>60</v>
      </c>
      <c r="J1060" s="751">
        <v>22</v>
      </c>
      <c r="K1060" s="751">
        <v>2</v>
      </c>
      <c r="L1060" s="752" t="s">
        <v>54</v>
      </c>
      <c r="M1060" s="752" t="s">
        <v>40</v>
      </c>
      <c r="N1060" s="752" t="s">
        <v>41</v>
      </c>
      <c r="O1060" s="752" t="s">
        <v>41</v>
      </c>
      <c r="P1060" s="752" t="s">
        <v>1091</v>
      </c>
      <c r="Q1060" s="753">
        <v>0</v>
      </c>
      <c r="R1060" s="753">
        <v>0</v>
      </c>
      <c r="S1060" s="753">
        <v>0</v>
      </c>
      <c r="T1060" s="753">
        <v>0</v>
      </c>
      <c r="U1060" s="753">
        <v>1081501</v>
      </c>
      <c r="V1060" s="751">
        <v>2019</v>
      </c>
      <c r="W1060" s="222" t="s">
        <v>2666</v>
      </c>
      <c r="X1060" s="186" t="str">
        <f t="shared" si="57"/>
        <v/>
      </c>
      <c r="Y1060" s="178" t="str">
        <f t="shared" si="55"/>
        <v/>
      </c>
      <c r="Z1060" s="178" t="str">
        <f t="shared" si="56"/>
        <v/>
      </c>
      <c r="AA1060" s="44"/>
      <c r="AB1060" s="65"/>
    </row>
    <row r="1061" spans="1:28" s="154" customFormat="1" hidden="1">
      <c r="A1061" s="751">
        <v>55170</v>
      </c>
      <c r="B1061" s="752" t="s">
        <v>35</v>
      </c>
      <c r="C1061" s="751" t="s">
        <v>2960</v>
      </c>
      <c r="D1061" s="752" t="s">
        <v>180</v>
      </c>
      <c r="E1061" s="752" t="s">
        <v>181</v>
      </c>
      <c r="F1061" s="751">
        <v>88</v>
      </c>
      <c r="G1061" s="752" t="s">
        <v>98</v>
      </c>
      <c r="H1061" s="752" t="s">
        <v>1245</v>
      </c>
      <c r="I1061" s="752" t="s">
        <v>60</v>
      </c>
      <c r="J1061" s="751">
        <v>22</v>
      </c>
      <c r="K1061" s="751">
        <v>2</v>
      </c>
      <c r="L1061" s="752" t="s">
        <v>54</v>
      </c>
      <c r="M1061" s="752" t="s">
        <v>43</v>
      </c>
      <c r="N1061" s="752" t="s">
        <v>41</v>
      </c>
      <c r="O1061" s="752" t="s">
        <v>41</v>
      </c>
      <c r="P1061" s="752" t="s">
        <v>1091</v>
      </c>
      <c r="Q1061" s="753">
        <v>21665067</v>
      </c>
      <c r="R1061" s="753">
        <v>21665067</v>
      </c>
      <c r="S1061" s="753">
        <v>22340025</v>
      </c>
      <c r="T1061" s="753">
        <v>22340025</v>
      </c>
      <c r="U1061" s="753">
        <v>1944094</v>
      </c>
      <c r="V1061" s="751">
        <v>2019</v>
      </c>
      <c r="W1061" s="222" t="s">
        <v>2666</v>
      </c>
      <c r="X1061" s="186">
        <f t="shared" si="57"/>
        <v>11.491226761668932</v>
      </c>
      <c r="Y1061" s="178" t="str">
        <f t="shared" si="55"/>
        <v/>
      </c>
      <c r="Z1061" s="178" t="str">
        <f t="shared" si="56"/>
        <v/>
      </c>
      <c r="AA1061" s="44"/>
      <c r="AB1061" s="179"/>
    </row>
    <row r="1062" spans="1:28" ht="25" hidden="1">
      <c r="A1062" s="751">
        <v>55211</v>
      </c>
      <c r="B1062" s="752" t="s">
        <v>35</v>
      </c>
      <c r="C1062" s="751" t="s">
        <v>2960</v>
      </c>
      <c r="D1062" s="752" t="s">
        <v>182</v>
      </c>
      <c r="E1062" s="752" t="s">
        <v>1047</v>
      </c>
      <c r="F1062" s="751">
        <v>641</v>
      </c>
      <c r="G1062" s="752" t="s">
        <v>83</v>
      </c>
      <c r="H1062" s="752" t="s">
        <v>1245</v>
      </c>
      <c r="I1062" s="752" t="s">
        <v>60</v>
      </c>
      <c r="J1062" s="751">
        <v>22</v>
      </c>
      <c r="K1062" s="751">
        <v>2</v>
      </c>
      <c r="L1062" s="752" t="s">
        <v>54</v>
      </c>
      <c r="M1062" s="752" t="s">
        <v>64</v>
      </c>
      <c r="N1062" s="752" t="s">
        <v>41</v>
      </c>
      <c r="O1062" s="752" t="s">
        <v>41</v>
      </c>
      <c r="P1062" s="752" t="s">
        <v>1091</v>
      </c>
      <c r="Q1062" s="753">
        <v>13761648</v>
      </c>
      <c r="R1062" s="753">
        <v>13761648</v>
      </c>
      <c r="S1062" s="753">
        <v>14165392</v>
      </c>
      <c r="T1062" s="753">
        <v>14165392</v>
      </c>
      <c r="U1062" s="753">
        <v>1799773</v>
      </c>
      <c r="V1062" s="751">
        <v>2019</v>
      </c>
      <c r="W1062" s="222" t="s">
        <v>2666</v>
      </c>
      <c r="X1062" s="186">
        <f t="shared" si="57"/>
        <v>7.8706547992441269</v>
      </c>
      <c r="Y1062" s="178" t="str">
        <f t="shared" si="55"/>
        <v/>
      </c>
      <c r="Z1062" s="178" t="str">
        <f t="shared" si="56"/>
        <v/>
      </c>
      <c r="AA1062" s="44"/>
      <c r="AB1062" s="65"/>
    </row>
    <row r="1063" spans="1:28" ht="25" hidden="1">
      <c r="A1063" s="751">
        <v>55212</v>
      </c>
      <c r="B1063" s="752" t="s">
        <v>35</v>
      </c>
      <c r="C1063" s="751" t="s">
        <v>2960</v>
      </c>
      <c r="D1063" s="752" t="s">
        <v>183</v>
      </c>
      <c r="E1063" s="752" t="s">
        <v>1048</v>
      </c>
      <c r="F1063" s="751">
        <v>656</v>
      </c>
      <c r="G1063" s="752" t="s">
        <v>83</v>
      </c>
      <c r="H1063" s="752" t="s">
        <v>1245</v>
      </c>
      <c r="I1063" s="752" t="s">
        <v>60</v>
      </c>
      <c r="J1063" s="751">
        <v>22</v>
      </c>
      <c r="K1063" s="751">
        <v>2</v>
      </c>
      <c r="L1063" s="752" t="s">
        <v>54</v>
      </c>
      <c r="M1063" s="752" t="s">
        <v>64</v>
      </c>
      <c r="N1063" s="752" t="s">
        <v>41</v>
      </c>
      <c r="O1063" s="752" t="s">
        <v>41</v>
      </c>
      <c r="P1063" s="752" t="s">
        <v>1091</v>
      </c>
      <c r="Q1063" s="753">
        <v>12559109</v>
      </c>
      <c r="R1063" s="753">
        <v>12559109</v>
      </c>
      <c r="S1063" s="753">
        <v>12935883</v>
      </c>
      <c r="T1063" s="753">
        <v>12935883</v>
      </c>
      <c r="U1063" s="753">
        <v>1672360</v>
      </c>
      <c r="V1063" s="751">
        <v>2019</v>
      </c>
      <c r="W1063" s="222" t="s">
        <v>2666</v>
      </c>
      <c r="X1063" s="186">
        <f t="shared" si="57"/>
        <v>7.7351066755961639</v>
      </c>
      <c r="Y1063" s="178" t="str">
        <f t="shared" si="55"/>
        <v/>
      </c>
      <c r="Z1063" s="178" t="str">
        <f t="shared" si="56"/>
        <v/>
      </c>
      <c r="AA1063" s="44"/>
      <c r="AB1063" s="65"/>
    </row>
    <row r="1064" spans="1:28" ht="25" hidden="1">
      <c r="A1064" s="751">
        <v>55243</v>
      </c>
      <c r="B1064" s="752" t="s">
        <v>35</v>
      </c>
      <c r="C1064" s="751" t="s">
        <v>2960</v>
      </c>
      <c r="D1064" s="752" t="s">
        <v>184</v>
      </c>
      <c r="E1064" s="752" t="s">
        <v>185</v>
      </c>
      <c r="F1064" s="751">
        <v>13582</v>
      </c>
      <c r="G1064" s="752" t="s">
        <v>59</v>
      </c>
      <c r="H1064" s="752" t="s">
        <v>1244</v>
      </c>
      <c r="I1064" s="752" t="s">
        <v>60</v>
      </c>
      <c r="J1064" s="751">
        <v>22</v>
      </c>
      <c r="K1064" s="751">
        <v>2</v>
      </c>
      <c r="L1064" s="752" t="s">
        <v>54</v>
      </c>
      <c r="M1064" s="752" t="s">
        <v>52</v>
      </c>
      <c r="N1064" s="752" t="s">
        <v>78</v>
      </c>
      <c r="O1064" s="752" t="s">
        <v>69</v>
      </c>
      <c r="P1064" s="752" t="s">
        <v>49</v>
      </c>
      <c r="Q1064" s="753">
        <v>825</v>
      </c>
      <c r="R1064" s="753">
        <v>825</v>
      </c>
      <c r="S1064" s="753">
        <v>4621</v>
      </c>
      <c r="T1064" s="753">
        <v>4621</v>
      </c>
      <c r="U1064" s="753">
        <v>309.25400000000002</v>
      </c>
      <c r="V1064" s="751">
        <v>2019</v>
      </c>
      <c r="W1064" s="222" t="s">
        <v>2666</v>
      </c>
      <c r="X1064" s="186">
        <f t="shared" si="57"/>
        <v>14.942409799064846</v>
      </c>
      <c r="Y1064" s="178" t="str">
        <f t="shared" si="55"/>
        <v/>
      </c>
      <c r="Z1064" s="178" t="str">
        <f t="shared" si="56"/>
        <v/>
      </c>
      <c r="AA1064" s="44"/>
      <c r="AB1064" s="65"/>
    </row>
    <row r="1065" spans="1:28" s="154" customFormat="1" ht="25" hidden="1">
      <c r="A1065" s="751">
        <v>55243</v>
      </c>
      <c r="B1065" s="752" t="s">
        <v>35</v>
      </c>
      <c r="C1065" s="751" t="s">
        <v>2960</v>
      </c>
      <c r="D1065" s="752" t="s">
        <v>184</v>
      </c>
      <c r="E1065" s="752" t="s">
        <v>185</v>
      </c>
      <c r="F1065" s="751">
        <v>13582</v>
      </c>
      <c r="G1065" s="752" t="s">
        <v>59</v>
      </c>
      <c r="H1065" s="752" t="s">
        <v>1244</v>
      </c>
      <c r="I1065" s="752" t="s">
        <v>60</v>
      </c>
      <c r="J1065" s="751">
        <v>22</v>
      </c>
      <c r="K1065" s="751">
        <v>2</v>
      </c>
      <c r="L1065" s="752" t="s">
        <v>54</v>
      </c>
      <c r="M1065" s="752" t="s">
        <v>52</v>
      </c>
      <c r="N1065" s="752" t="s">
        <v>41</v>
      </c>
      <c r="O1065" s="752" t="s">
        <v>41</v>
      </c>
      <c r="P1065" s="752" t="s">
        <v>1091</v>
      </c>
      <c r="Q1065" s="753">
        <v>245145</v>
      </c>
      <c r="R1065" s="753">
        <v>245145</v>
      </c>
      <c r="S1065" s="753">
        <v>250047</v>
      </c>
      <c r="T1065" s="753">
        <v>250047</v>
      </c>
      <c r="U1065" s="753">
        <v>16737.745999999999</v>
      </c>
      <c r="V1065" s="751">
        <v>2019</v>
      </c>
      <c r="W1065" s="222" t="s">
        <v>2666</v>
      </c>
      <c r="X1065" s="186">
        <f t="shared" si="57"/>
        <v>14.939108288535387</v>
      </c>
      <c r="Y1065" s="178" t="str">
        <f t="shared" si="55"/>
        <v/>
      </c>
      <c r="Z1065" s="178" t="str">
        <f t="shared" si="56"/>
        <v/>
      </c>
      <c r="AA1065" s="44"/>
      <c r="AB1065" s="179"/>
    </row>
    <row r="1066" spans="1:28" hidden="1">
      <c r="A1066" s="751">
        <v>55288</v>
      </c>
      <c r="B1066" s="752" t="s">
        <v>35</v>
      </c>
      <c r="C1066" s="751" t="s">
        <v>2960</v>
      </c>
      <c r="D1066" s="752" t="s">
        <v>1263</v>
      </c>
      <c r="E1066" s="752" t="s">
        <v>1637</v>
      </c>
      <c r="F1066" s="751">
        <v>59178</v>
      </c>
      <c r="G1066" s="752" t="s">
        <v>92</v>
      </c>
      <c r="H1066" s="752" t="s">
        <v>1245</v>
      </c>
      <c r="I1066" s="752" t="s">
        <v>60</v>
      </c>
      <c r="J1066" s="751">
        <v>22</v>
      </c>
      <c r="K1066" s="751">
        <v>2</v>
      </c>
      <c r="L1066" s="752" t="s">
        <v>54</v>
      </c>
      <c r="M1066" s="752" t="s">
        <v>37</v>
      </c>
      <c r="N1066" s="752" t="s">
        <v>38</v>
      </c>
      <c r="O1066" s="752" t="s">
        <v>39</v>
      </c>
      <c r="P1066" s="752" t="s">
        <v>1238</v>
      </c>
      <c r="Q1066" s="753">
        <v>0</v>
      </c>
      <c r="R1066" s="753">
        <v>0</v>
      </c>
      <c r="S1066" s="753">
        <v>278314</v>
      </c>
      <c r="T1066" s="753">
        <v>278314</v>
      </c>
      <c r="U1066" s="753">
        <v>31257</v>
      </c>
      <c r="V1066" s="751">
        <v>2019</v>
      </c>
      <c r="W1066" s="222"/>
      <c r="X1066" s="186">
        <f t="shared" si="57"/>
        <v>8.9040534920177876</v>
      </c>
      <c r="Y1066" s="178" t="str">
        <f t="shared" si="55"/>
        <v/>
      </c>
      <c r="Z1066" s="178" t="str">
        <f t="shared" si="56"/>
        <v/>
      </c>
      <c r="AA1066" s="44"/>
      <c r="AB1066" s="65"/>
    </row>
    <row r="1067" spans="1:28" ht="25" hidden="1">
      <c r="A1067" s="751">
        <v>55294</v>
      </c>
      <c r="B1067" s="752" t="s">
        <v>35</v>
      </c>
      <c r="C1067" s="751" t="s">
        <v>2960</v>
      </c>
      <c r="D1067" s="752" t="s">
        <v>1180</v>
      </c>
      <c r="E1067" s="752" t="s">
        <v>186</v>
      </c>
      <c r="F1067" s="751">
        <v>2891</v>
      </c>
      <c r="G1067" s="752" t="s">
        <v>92</v>
      </c>
      <c r="H1067" s="752" t="s">
        <v>1245</v>
      </c>
      <c r="I1067" s="752" t="s">
        <v>60</v>
      </c>
      <c r="J1067" s="751">
        <v>22</v>
      </c>
      <c r="K1067" s="751">
        <v>2</v>
      </c>
      <c r="L1067" s="752" t="s">
        <v>54</v>
      </c>
      <c r="M1067" s="752" t="s">
        <v>40</v>
      </c>
      <c r="N1067" s="752" t="s">
        <v>41</v>
      </c>
      <c r="O1067" s="752" t="s">
        <v>41</v>
      </c>
      <c r="P1067" s="752" t="s">
        <v>1091</v>
      </c>
      <c r="Q1067" s="753">
        <v>0</v>
      </c>
      <c r="R1067" s="753">
        <v>0</v>
      </c>
      <c r="S1067" s="753">
        <v>0</v>
      </c>
      <c r="T1067" s="753">
        <v>0</v>
      </c>
      <c r="U1067" s="753">
        <v>336895</v>
      </c>
      <c r="V1067" s="751">
        <v>2019</v>
      </c>
      <c r="W1067" s="222" t="s">
        <v>2666</v>
      </c>
      <c r="X1067" s="186"/>
      <c r="Y1067" s="178" t="str">
        <f t="shared" si="55"/>
        <v/>
      </c>
      <c r="Z1067" s="178" t="str">
        <f t="shared" si="56"/>
        <v/>
      </c>
      <c r="AA1067" s="44"/>
      <c r="AB1067" s="65"/>
    </row>
    <row r="1068" spans="1:28" s="154" customFormat="1" ht="25" hidden="1">
      <c r="A1068" s="751">
        <v>55294</v>
      </c>
      <c r="B1068" s="752" t="s">
        <v>35</v>
      </c>
      <c r="C1068" s="751" t="s">
        <v>2960</v>
      </c>
      <c r="D1068" s="752" t="s">
        <v>1180</v>
      </c>
      <c r="E1068" s="752" t="s">
        <v>186</v>
      </c>
      <c r="F1068" s="751">
        <v>2891</v>
      </c>
      <c r="G1068" s="752" t="s">
        <v>92</v>
      </c>
      <c r="H1068" s="752" t="s">
        <v>1245</v>
      </c>
      <c r="I1068" s="752" t="s">
        <v>60</v>
      </c>
      <c r="J1068" s="751">
        <v>22</v>
      </c>
      <c r="K1068" s="751">
        <v>2</v>
      </c>
      <c r="L1068" s="752" t="s">
        <v>54</v>
      </c>
      <c r="M1068" s="752" t="s">
        <v>43</v>
      </c>
      <c r="N1068" s="752" t="s">
        <v>41</v>
      </c>
      <c r="O1068" s="752" t="s">
        <v>41</v>
      </c>
      <c r="P1068" s="752" t="s">
        <v>1091</v>
      </c>
      <c r="Q1068" s="753">
        <v>6780640</v>
      </c>
      <c r="R1068" s="753">
        <v>6780640</v>
      </c>
      <c r="S1068" s="753">
        <v>7081270</v>
      </c>
      <c r="T1068" s="753">
        <v>7081270</v>
      </c>
      <c r="U1068" s="753">
        <v>620160</v>
      </c>
      <c r="V1068" s="751">
        <v>2019</v>
      </c>
      <c r="W1068" s="222" t="s">
        <v>2666</v>
      </c>
      <c r="X1068" s="186">
        <f t="shared" ref="X1068:X1073" si="58">IF(OR(K1068&gt;3,T1068=0,NOT(U1068&gt;0)),"",T1068/U1068)</f>
        <v>11.41845652734778</v>
      </c>
      <c r="Y1068" s="178" t="str">
        <f t="shared" si="55"/>
        <v/>
      </c>
      <c r="Z1068" s="178" t="str">
        <f t="shared" si="56"/>
        <v/>
      </c>
      <c r="AA1068" s="44"/>
      <c r="AB1068" s="179"/>
    </row>
    <row r="1069" spans="1:28" ht="25" hidden="1">
      <c r="A1069" s="751">
        <v>55317</v>
      </c>
      <c r="B1069" s="752" t="s">
        <v>35</v>
      </c>
      <c r="C1069" s="751" t="s">
        <v>2960</v>
      </c>
      <c r="D1069" s="752" t="s">
        <v>187</v>
      </c>
      <c r="E1069" s="752" t="s">
        <v>1670</v>
      </c>
      <c r="F1069" s="751">
        <v>59368</v>
      </c>
      <c r="G1069" s="752" t="s">
        <v>83</v>
      </c>
      <c r="H1069" s="752" t="s">
        <v>1245</v>
      </c>
      <c r="I1069" s="752" t="s">
        <v>60</v>
      </c>
      <c r="J1069" s="751">
        <v>22</v>
      </c>
      <c r="K1069" s="751">
        <v>2</v>
      </c>
      <c r="L1069" s="752" t="s">
        <v>54</v>
      </c>
      <c r="M1069" s="752" t="s">
        <v>40</v>
      </c>
      <c r="N1069" s="752" t="s">
        <v>48</v>
      </c>
      <c r="O1069" s="752" t="s">
        <v>48</v>
      </c>
      <c r="P1069" s="752" t="s">
        <v>49</v>
      </c>
      <c r="Q1069" s="753">
        <v>0</v>
      </c>
      <c r="R1069" s="753">
        <v>0</v>
      </c>
      <c r="S1069" s="753">
        <v>0</v>
      </c>
      <c r="T1069" s="753">
        <v>0</v>
      </c>
      <c r="U1069" s="753">
        <v>1410.3219999999999</v>
      </c>
      <c r="V1069" s="751">
        <v>2019</v>
      </c>
      <c r="W1069" s="222" t="s">
        <v>2666</v>
      </c>
      <c r="X1069" s="186" t="str">
        <f t="shared" si="58"/>
        <v/>
      </c>
      <c r="Y1069" s="178" t="str">
        <f t="shared" si="55"/>
        <v/>
      </c>
      <c r="Z1069" s="178" t="str">
        <f t="shared" si="56"/>
        <v/>
      </c>
      <c r="AA1069" s="44"/>
      <c r="AB1069" s="65"/>
    </row>
    <row r="1070" spans="1:28" ht="25" hidden="1">
      <c r="A1070" s="751">
        <v>55317</v>
      </c>
      <c r="B1070" s="752" t="s">
        <v>35</v>
      </c>
      <c r="C1070" s="751" t="s">
        <v>2960</v>
      </c>
      <c r="D1070" s="752" t="s">
        <v>187</v>
      </c>
      <c r="E1070" s="752" t="s">
        <v>1670</v>
      </c>
      <c r="F1070" s="751">
        <v>59368</v>
      </c>
      <c r="G1070" s="752" t="s">
        <v>83</v>
      </c>
      <c r="H1070" s="752" t="s">
        <v>1245</v>
      </c>
      <c r="I1070" s="752" t="s">
        <v>60</v>
      </c>
      <c r="J1070" s="751">
        <v>22</v>
      </c>
      <c r="K1070" s="751">
        <v>2</v>
      </c>
      <c r="L1070" s="752" t="s">
        <v>54</v>
      </c>
      <c r="M1070" s="752" t="s">
        <v>40</v>
      </c>
      <c r="N1070" s="752" t="s">
        <v>41</v>
      </c>
      <c r="O1070" s="752" t="s">
        <v>41</v>
      </c>
      <c r="P1070" s="752" t="s">
        <v>1091</v>
      </c>
      <c r="Q1070" s="753">
        <v>102258</v>
      </c>
      <c r="R1070" s="753">
        <v>102258</v>
      </c>
      <c r="S1070" s="753">
        <v>105278</v>
      </c>
      <c r="T1070" s="753">
        <v>105278</v>
      </c>
      <c r="U1070" s="753">
        <v>1437411.7</v>
      </c>
      <c r="V1070" s="751">
        <v>2019</v>
      </c>
      <c r="W1070" s="222" t="s">
        <v>2666</v>
      </c>
      <c r="X1070" s="186">
        <f t="shared" si="58"/>
        <v>7.3241368495887443E-2</v>
      </c>
      <c r="Y1070" s="178" t="str">
        <f t="shared" si="55"/>
        <v/>
      </c>
      <c r="Z1070" s="178" t="str">
        <f t="shared" si="56"/>
        <v/>
      </c>
      <c r="AA1070" s="44"/>
      <c r="AB1070" s="65"/>
    </row>
    <row r="1071" spans="1:28" ht="25" hidden="1">
      <c r="A1071" s="751">
        <v>55317</v>
      </c>
      <c r="B1071" s="752" t="s">
        <v>35</v>
      </c>
      <c r="C1071" s="751" t="s">
        <v>2960</v>
      </c>
      <c r="D1071" s="752" t="s">
        <v>187</v>
      </c>
      <c r="E1071" s="752" t="s">
        <v>1670</v>
      </c>
      <c r="F1071" s="751">
        <v>59368</v>
      </c>
      <c r="G1071" s="752" t="s">
        <v>83</v>
      </c>
      <c r="H1071" s="752" t="s">
        <v>1245</v>
      </c>
      <c r="I1071" s="752" t="s">
        <v>60</v>
      </c>
      <c r="J1071" s="751">
        <v>22</v>
      </c>
      <c r="K1071" s="751">
        <v>2</v>
      </c>
      <c r="L1071" s="752" t="s">
        <v>54</v>
      </c>
      <c r="M1071" s="752" t="s">
        <v>43</v>
      </c>
      <c r="N1071" s="752" t="s">
        <v>48</v>
      </c>
      <c r="O1071" s="752" t="s">
        <v>48</v>
      </c>
      <c r="P1071" s="752" t="s">
        <v>49</v>
      </c>
      <c r="Q1071" s="753">
        <v>5942</v>
      </c>
      <c r="R1071" s="753">
        <v>5942</v>
      </c>
      <c r="S1071" s="753">
        <v>34464</v>
      </c>
      <c r="T1071" s="753">
        <v>34464</v>
      </c>
      <c r="U1071" s="753">
        <v>3061.085</v>
      </c>
      <c r="V1071" s="751">
        <v>2019</v>
      </c>
      <c r="W1071" s="222" t="s">
        <v>2666</v>
      </c>
      <c r="X1071" s="186">
        <f t="shared" si="58"/>
        <v>11.25875302384612</v>
      </c>
      <c r="Y1071" s="178" t="str">
        <f t="shared" si="55"/>
        <v/>
      </c>
      <c r="Z1071" s="178" t="str">
        <f t="shared" si="56"/>
        <v/>
      </c>
      <c r="AA1071" s="44"/>
      <c r="AB1071" s="65"/>
    </row>
    <row r="1072" spans="1:28" s="154" customFormat="1" ht="25" hidden="1">
      <c r="A1072" s="751">
        <v>55317</v>
      </c>
      <c r="B1072" s="752" t="s">
        <v>35</v>
      </c>
      <c r="C1072" s="751" t="s">
        <v>2960</v>
      </c>
      <c r="D1072" s="752" t="s">
        <v>187</v>
      </c>
      <c r="E1072" s="752" t="s">
        <v>1670</v>
      </c>
      <c r="F1072" s="751">
        <v>59368</v>
      </c>
      <c r="G1072" s="752" t="s">
        <v>83</v>
      </c>
      <c r="H1072" s="752" t="s">
        <v>1245</v>
      </c>
      <c r="I1072" s="752" t="s">
        <v>60</v>
      </c>
      <c r="J1072" s="751">
        <v>22</v>
      </c>
      <c r="K1072" s="751">
        <v>2</v>
      </c>
      <c r="L1072" s="752" t="s">
        <v>54</v>
      </c>
      <c r="M1072" s="752" t="s">
        <v>43</v>
      </c>
      <c r="N1072" s="752" t="s">
        <v>41</v>
      </c>
      <c r="O1072" s="752" t="s">
        <v>41</v>
      </c>
      <c r="P1072" s="752" t="s">
        <v>1091</v>
      </c>
      <c r="Q1072" s="753">
        <v>31722828</v>
      </c>
      <c r="R1072" s="753">
        <v>31722828</v>
      </c>
      <c r="S1072" s="753">
        <v>32652657</v>
      </c>
      <c r="T1072" s="753">
        <v>32652657</v>
      </c>
      <c r="U1072" s="753">
        <v>2961300.9</v>
      </c>
      <c r="V1072" s="751">
        <v>2019</v>
      </c>
      <c r="W1072" s="222" t="s">
        <v>2666</v>
      </c>
      <c r="X1072" s="186">
        <f t="shared" si="58"/>
        <v>11.026456987197756</v>
      </c>
      <c r="Y1072" s="178" t="str">
        <f t="shared" si="55"/>
        <v/>
      </c>
      <c r="Z1072" s="178" t="str">
        <f t="shared" si="56"/>
        <v/>
      </c>
      <c r="AA1072" s="44"/>
      <c r="AB1072" s="179"/>
    </row>
    <row r="1073" spans="1:28" hidden="1">
      <c r="A1073" s="751">
        <v>55368</v>
      </c>
      <c r="B1073" s="752" t="s">
        <v>35</v>
      </c>
      <c r="C1073" s="751" t="s">
        <v>2960</v>
      </c>
      <c r="D1073" s="752" t="s">
        <v>1049</v>
      </c>
      <c r="E1073" s="752" t="s">
        <v>840</v>
      </c>
      <c r="F1073" s="751">
        <v>34688</v>
      </c>
      <c r="G1073" s="752" t="s">
        <v>59</v>
      </c>
      <c r="H1073" s="752" t="s">
        <v>1244</v>
      </c>
      <c r="I1073" s="752" t="s">
        <v>60</v>
      </c>
      <c r="J1073" s="751">
        <v>22</v>
      </c>
      <c r="K1073" s="751">
        <v>2</v>
      </c>
      <c r="L1073" s="752" t="s">
        <v>54</v>
      </c>
      <c r="M1073" s="752" t="s">
        <v>73</v>
      </c>
      <c r="N1073" s="752" t="s">
        <v>74</v>
      </c>
      <c r="O1073" s="752" t="s">
        <v>74</v>
      </c>
      <c r="P1073" s="752" t="s">
        <v>1238</v>
      </c>
      <c r="Q1073" s="753">
        <v>0</v>
      </c>
      <c r="R1073" s="753">
        <v>0</v>
      </c>
      <c r="S1073" s="753">
        <v>26720</v>
      </c>
      <c r="T1073" s="753">
        <v>26720</v>
      </c>
      <c r="U1073" s="753">
        <v>3001</v>
      </c>
      <c r="V1073" s="751">
        <v>2019</v>
      </c>
      <c r="W1073" s="222"/>
      <c r="X1073" s="186">
        <f t="shared" si="58"/>
        <v>8.9036987670776409</v>
      </c>
      <c r="Y1073" s="178" t="str">
        <f t="shared" si="55"/>
        <v/>
      </c>
      <c r="Z1073" s="178" t="str">
        <f t="shared" si="56"/>
        <v/>
      </c>
      <c r="AA1073" s="44"/>
      <c r="AB1073" s="65"/>
    </row>
    <row r="1074" spans="1:28" hidden="1">
      <c r="A1074" s="751">
        <v>55375</v>
      </c>
      <c r="B1074" s="752" t="s">
        <v>35</v>
      </c>
      <c r="C1074" s="751" t="s">
        <v>2960</v>
      </c>
      <c r="D1074" s="752" t="s">
        <v>188</v>
      </c>
      <c r="E1074" s="752" t="s">
        <v>189</v>
      </c>
      <c r="F1074" s="751">
        <v>22979</v>
      </c>
      <c r="G1074" s="752" t="s">
        <v>59</v>
      </c>
      <c r="H1074" s="752" t="s">
        <v>1244</v>
      </c>
      <c r="I1074" s="752" t="s">
        <v>60</v>
      </c>
      <c r="J1074" s="751">
        <v>22</v>
      </c>
      <c r="K1074" s="751">
        <v>2</v>
      </c>
      <c r="L1074" s="752" t="s">
        <v>54</v>
      </c>
      <c r="M1074" s="752" t="s">
        <v>40</v>
      </c>
      <c r="N1074" s="752" t="s">
        <v>48</v>
      </c>
      <c r="O1074" s="752" t="s">
        <v>48</v>
      </c>
      <c r="P1074" s="752" t="s">
        <v>49</v>
      </c>
      <c r="Q1074" s="753">
        <v>0</v>
      </c>
      <c r="R1074" s="753">
        <v>0</v>
      </c>
      <c r="S1074" s="753">
        <v>0</v>
      </c>
      <c r="T1074" s="753">
        <v>0</v>
      </c>
      <c r="U1074" s="753">
        <v>14474.536</v>
      </c>
      <c r="V1074" s="751">
        <v>2019</v>
      </c>
      <c r="W1074" s="222" t="s">
        <v>2666</v>
      </c>
      <c r="X1074" s="186"/>
      <c r="Y1074" s="178" t="str">
        <f t="shared" si="55"/>
        <v/>
      </c>
      <c r="Z1074" s="178" t="str">
        <f t="shared" si="56"/>
        <v/>
      </c>
      <c r="AA1074" s="44"/>
      <c r="AB1074" s="65"/>
    </row>
    <row r="1075" spans="1:28" hidden="1">
      <c r="A1075" s="751">
        <v>55375</v>
      </c>
      <c r="B1075" s="752" t="s">
        <v>35</v>
      </c>
      <c r="C1075" s="751" t="s">
        <v>2960</v>
      </c>
      <c r="D1075" s="752" t="s">
        <v>188</v>
      </c>
      <c r="E1075" s="752" t="s">
        <v>189</v>
      </c>
      <c r="F1075" s="751">
        <v>22979</v>
      </c>
      <c r="G1075" s="752" t="s">
        <v>59</v>
      </c>
      <c r="H1075" s="752" t="s">
        <v>1244</v>
      </c>
      <c r="I1075" s="752" t="s">
        <v>60</v>
      </c>
      <c r="J1075" s="751">
        <v>22</v>
      </c>
      <c r="K1075" s="751">
        <v>2</v>
      </c>
      <c r="L1075" s="752" t="s">
        <v>54</v>
      </c>
      <c r="M1075" s="752" t="s">
        <v>40</v>
      </c>
      <c r="N1075" s="752" t="s">
        <v>41</v>
      </c>
      <c r="O1075" s="752" t="s">
        <v>41</v>
      </c>
      <c r="P1075" s="752" t="s">
        <v>1091</v>
      </c>
      <c r="Q1075" s="753">
        <v>181046</v>
      </c>
      <c r="R1075" s="753">
        <v>181046</v>
      </c>
      <c r="S1075" s="753">
        <v>186469</v>
      </c>
      <c r="T1075" s="753">
        <v>186469</v>
      </c>
      <c r="U1075" s="753">
        <v>1164541.5</v>
      </c>
      <c r="V1075" s="751">
        <v>2019</v>
      </c>
      <c r="W1075" s="222" t="s">
        <v>2666</v>
      </c>
      <c r="X1075" s="186">
        <f t="shared" ref="X1075:X1095" si="59">IF(OR(K1075&gt;3,T1075=0,NOT(U1075&gt;0)),"",T1075/U1075)</f>
        <v>0.16012224553611873</v>
      </c>
      <c r="Y1075" s="178" t="str">
        <f t="shared" si="55"/>
        <v/>
      </c>
      <c r="Z1075" s="178" t="str">
        <f t="shared" si="56"/>
        <v/>
      </c>
      <c r="AA1075" s="44"/>
      <c r="AB1075" s="65"/>
    </row>
    <row r="1076" spans="1:28" hidden="1">
      <c r="A1076" s="751">
        <v>55375</v>
      </c>
      <c r="B1076" s="752" t="s">
        <v>35</v>
      </c>
      <c r="C1076" s="751" t="s">
        <v>2960</v>
      </c>
      <c r="D1076" s="752" t="s">
        <v>188</v>
      </c>
      <c r="E1076" s="752" t="s">
        <v>189</v>
      </c>
      <c r="F1076" s="751">
        <v>22979</v>
      </c>
      <c r="G1076" s="752" t="s">
        <v>59</v>
      </c>
      <c r="H1076" s="752" t="s">
        <v>1244</v>
      </c>
      <c r="I1076" s="752" t="s">
        <v>60</v>
      </c>
      <c r="J1076" s="751">
        <v>22</v>
      </c>
      <c r="K1076" s="751">
        <v>2</v>
      </c>
      <c r="L1076" s="752" t="s">
        <v>54</v>
      </c>
      <c r="M1076" s="752" t="s">
        <v>43</v>
      </c>
      <c r="N1076" s="752" t="s">
        <v>48</v>
      </c>
      <c r="O1076" s="752" t="s">
        <v>48</v>
      </c>
      <c r="P1076" s="752" t="s">
        <v>49</v>
      </c>
      <c r="Q1076" s="753">
        <v>50690</v>
      </c>
      <c r="R1076" s="753">
        <v>50690</v>
      </c>
      <c r="S1076" s="753">
        <v>293799</v>
      </c>
      <c r="T1076" s="753">
        <v>293799</v>
      </c>
      <c r="U1076" s="753">
        <v>25929.724999999999</v>
      </c>
      <c r="V1076" s="751">
        <v>2019</v>
      </c>
      <c r="W1076" s="222" t="s">
        <v>2666</v>
      </c>
      <c r="X1076" s="186">
        <f t="shared" si="59"/>
        <v>11.330586807226071</v>
      </c>
      <c r="Y1076" s="178" t="str">
        <f t="shared" si="55"/>
        <v/>
      </c>
      <c r="Z1076" s="178" t="str">
        <f t="shared" si="56"/>
        <v/>
      </c>
      <c r="AA1076" s="44"/>
      <c r="AB1076" s="65"/>
    </row>
    <row r="1077" spans="1:28" hidden="1">
      <c r="A1077" s="751">
        <v>55375</v>
      </c>
      <c r="B1077" s="752" t="s">
        <v>35</v>
      </c>
      <c r="C1077" s="751" t="s">
        <v>2960</v>
      </c>
      <c r="D1077" s="752" t="s">
        <v>188</v>
      </c>
      <c r="E1077" s="752" t="s">
        <v>189</v>
      </c>
      <c r="F1077" s="751">
        <v>22979</v>
      </c>
      <c r="G1077" s="752" t="s">
        <v>59</v>
      </c>
      <c r="H1077" s="752" t="s">
        <v>1244</v>
      </c>
      <c r="I1077" s="752" t="s">
        <v>60</v>
      </c>
      <c r="J1077" s="751">
        <v>22</v>
      </c>
      <c r="K1077" s="751">
        <v>2</v>
      </c>
      <c r="L1077" s="752" t="s">
        <v>54</v>
      </c>
      <c r="M1077" s="752" t="s">
        <v>43</v>
      </c>
      <c r="N1077" s="752" t="s">
        <v>41</v>
      </c>
      <c r="O1077" s="752" t="s">
        <v>41</v>
      </c>
      <c r="P1077" s="752" t="s">
        <v>1091</v>
      </c>
      <c r="Q1077" s="753">
        <v>22240021</v>
      </c>
      <c r="R1077" s="753">
        <v>22240021</v>
      </c>
      <c r="S1077" s="753">
        <v>22911284</v>
      </c>
      <c r="T1077" s="753">
        <v>22911284</v>
      </c>
      <c r="U1077" s="753">
        <v>1998548.3</v>
      </c>
      <c r="V1077" s="751">
        <v>2019</v>
      </c>
      <c r="W1077" s="222" t="s">
        <v>2666</v>
      </c>
      <c r="X1077" s="186">
        <f t="shared" si="59"/>
        <v>11.46396311762893</v>
      </c>
      <c r="Y1077" s="178" t="str">
        <f t="shared" si="55"/>
        <v/>
      </c>
      <c r="Z1077" s="178" t="str">
        <f t="shared" si="56"/>
        <v/>
      </c>
      <c r="AA1077" s="44"/>
      <c r="AB1077" s="65"/>
    </row>
    <row r="1078" spans="1:28" ht="25" hidden="1">
      <c r="A1078" s="751">
        <v>55405</v>
      </c>
      <c r="B1078" s="752" t="s">
        <v>35</v>
      </c>
      <c r="C1078" s="751" t="s">
        <v>2960</v>
      </c>
      <c r="D1078" s="752" t="s">
        <v>95</v>
      </c>
      <c r="E1078" s="752" t="s">
        <v>96</v>
      </c>
      <c r="F1078" s="751">
        <v>32173</v>
      </c>
      <c r="G1078" s="752" t="s">
        <v>59</v>
      </c>
      <c r="H1078" s="752" t="s">
        <v>1244</v>
      </c>
      <c r="I1078" s="752" t="s">
        <v>60</v>
      </c>
      <c r="J1078" s="751">
        <v>22</v>
      </c>
      <c r="K1078" s="751">
        <v>2</v>
      </c>
      <c r="L1078" s="752" t="s">
        <v>54</v>
      </c>
      <c r="M1078" s="752" t="s">
        <v>40</v>
      </c>
      <c r="N1078" s="752" t="s">
        <v>48</v>
      </c>
      <c r="O1078" s="752" t="s">
        <v>48</v>
      </c>
      <c r="P1078" s="752" t="s">
        <v>49</v>
      </c>
      <c r="Q1078" s="753">
        <v>0</v>
      </c>
      <c r="R1078" s="753">
        <v>0</v>
      </c>
      <c r="S1078" s="753">
        <v>0</v>
      </c>
      <c r="T1078" s="753">
        <v>0</v>
      </c>
      <c r="U1078" s="753">
        <v>0</v>
      </c>
      <c r="V1078" s="751">
        <v>2019</v>
      </c>
      <c r="W1078" s="222" t="s">
        <v>2666</v>
      </c>
      <c r="X1078" s="186" t="str">
        <f t="shared" si="59"/>
        <v/>
      </c>
      <c r="Y1078" s="178" t="str">
        <f t="shared" si="55"/>
        <v/>
      </c>
      <c r="Z1078" s="178" t="str">
        <f t="shared" si="56"/>
        <v/>
      </c>
      <c r="AA1078" s="44"/>
      <c r="AB1078" s="65"/>
    </row>
    <row r="1079" spans="1:28" ht="25" hidden="1">
      <c r="A1079" s="751">
        <v>55405</v>
      </c>
      <c r="B1079" s="752" t="s">
        <v>35</v>
      </c>
      <c r="C1079" s="751" t="s">
        <v>2960</v>
      </c>
      <c r="D1079" s="752" t="s">
        <v>95</v>
      </c>
      <c r="E1079" s="752" t="s">
        <v>96</v>
      </c>
      <c r="F1079" s="751">
        <v>32173</v>
      </c>
      <c r="G1079" s="752" t="s">
        <v>59</v>
      </c>
      <c r="H1079" s="752" t="s">
        <v>1244</v>
      </c>
      <c r="I1079" s="752" t="s">
        <v>60</v>
      </c>
      <c r="J1079" s="751">
        <v>22</v>
      </c>
      <c r="K1079" s="751">
        <v>2</v>
      </c>
      <c r="L1079" s="752" t="s">
        <v>54</v>
      </c>
      <c r="M1079" s="752" t="s">
        <v>40</v>
      </c>
      <c r="N1079" s="752" t="s">
        <v>41</v>
      </c>
      <c r="O1079" s="752" t="s">
        <v>41</v>
      </c>
      <c r="P1079" s="752" t="s">
        <v>1091</v>
      </c>
      <c r="Q1079" s="753">
        <v>0</v>
      </c>
      <c r="R1079" s="753">
        <v>0</v>
      </c>
      <c r="S1079" s="753">
        <v>0</v>
      </c>
      <c r="T1079" s="753">
        <v>0</v>
      </c>
      <c r="U1079" s="753">
        <v>1017181</v>
      </c>
      <c r="V1079" s="751">
        <v>2019</v>
      </c>
      <c r="W1079" s="222" t="s">
        <v>2666</v>
      </c>
      <c r="X1079" s="186" t="str">
        <f t="shared" si="59"/>
        <v/>
      </c>
      <c r="Y1079" s="178" t="str">
        <f t="shared" si="55"/>
        <v/>
      </c>
      <c r="Z1079" s="178" t="str">
        <f t="shared" si="56"/>
        <v/>
      </c>
      <c r="AA1079" s="44"/>
      <c r="AB1079" s="65"/>
    </row>
    <row r="1080" spans="1:28" ht="25" hidden="1">
      <c r="A1080" s="751">
        <v>55405</v>
      </c>
      <c r="B1080" s="752" t="s">
        <v>35</v>
      </c>
      <c r="C1080" s="751" t="s">
        <v>2960</v>
      </c>
      <c r="D1080" s="752" t="s">
        <v>95</v>
      </c>
      <c r="E1080" s="752" t="s">
        <v>96</v>
      </c>
      <c r="F1080" s="751">
        <v>32173</v>
      </c>
      <c r="G1080" s="752" t="s">
        <v>59</v>
      </c>
      <c r="H1080" s="752" t="s">
        <v>1244</v>
      </c>
      <c r="I1080" s="752" t="s">
        <v>60</v>
      </c>
      <c r="J1080" s="751">
        <v>22</v>
      </c>
      <c r="K1080" s="751">
        <v>2</v>
      </c>
      <c r="L1080" s="752" t="s">
        <v>54</v>
      </c>
      <c r="M1080" s="752" t="s">
        <v>43</v>
      </c>
      <c r="N1080" s="752" t="s">
        <v>48</v>
      </c>
      <c r="O1080" s="752" t="s">
        <v>48</v>
      </c>
      <c r="P1080" s="752" t="s">
        <v>49</v>
      </c>
      <c r="Q1080" s="753">
        <v>0</v>
      </c>
      <c r="R1080" s="753">
        <v>0</v>
      </c>
      <c r="S1080" s="753">
        <v>0</v>
      </c>
      <c r="T1080" s="753">
        <v>0</v>
      </c>
      <c r="U1080" s="753">
        <v>0</v>
      </c>
      <c r="V1080" s="751">
        <v>2019</v>
      </c>
      <c r="W1080" s="222" t="s">
        <v>2666</v>
      </c>
      <c r="X1080" s="186" t="str">
        <f t="shared" si="59"/>
        <v/>
      </c>
      <c r="Y1080" s="178" t="str">
        <f t="shared" si="55"/>
        <v/>
      </c>
      <c r="Z1080" s="178" t="str">
        <f t="shared" si="56"/>
        <v/>
      </c>
      <c r="AA1080" s="44"/>
      <c r="AB1080" s="65"/>
    </row>
    <row r="1081" spans="1:28" ht="25" hidden="1">
      <c r="A1081" s="751">
        <v>55405</v>
      </c>
      <c r="B1081" s="752" t="s">
        <v>35</v>
      </c>
      <c r="C1081" s="751" t="s">
        <v>2960</v>
      </c>
      <c r="D1081" s="752" t="s">
        <v>95</v>
      </c>
      <c r="E1081" s="752" t="s">
        <v>96</v>
      </c>
      <c r="F1081" s="751">
        <v>32173</v>
      </c>
      <c r="G1081" s="752" t="s">
        <v>59</v>
      </c>
      <c r="H1081" s="752" t="s">
        <v>1244</v>
      </c>
      <c r="I1081" s="752" t="s">
        <v>60</v>
      </c>
      <c r="J1081" s="751">
        <v>22</v>
      </c>
      <c r="K1081" s="751">
        <v>2</v>
      </c>
      <c r="L1081" s="752" t="s">
        <v>54</v>
      </c>
      <c r="M1081" s="752" t="s">
        <v>43</v>
      </c>
      <c r="N1081" s="752" t="s">
        <v>41</v>
      </c>
      <c r="O1081" s="752" t="s">
        <v>41</v>
      </c>
      <c r="P1081" s="752" t="s">
        <v>1091</v>
      </c>
      <c r="Q1081" s="753">
        <v>20783036</v>
      </c>
      <c r="R1081" s="753">
        <v>20783036</v>
      </c>
      <c r="S1081" s="753">
        <v>21438792</v>
      </c>
      <c r="T1081" s="753">
        <v>21438792</v>
      </c>
      <c r="U1081" s="753">
        <v>1899966</v>
      </c>
      <c r="V1081" s="751">
        <v>2019</v>
      </c>
      <c r="W1081" s="222" t="s">
        <v>2666</v>
      </c>
      <c r="X1081" s="186">
        <f t="shared" si="59"/>
        <v>11.283776657055968</v>
      </c>
      <c r="Y1081" s="178" t="str">
        <f t="shared" si="55"/>
        <v/>
      </c>
      <c r="Z1081" s="178" t="str">
        <f t="shared" si="56"/>
        <v/>
      </c>
      <c r="AA1081" s="44"/>
      <c r="AB1081" s="65"/>
    </row>
    <row r="1082" spans="1:28" s="154" customFormat="1" hidden="1">
      <c r="A1082" s="751">
        <v>55517</v>
      </c>
      <c r="B1082" s="752" t="s">
        <v>35</v>
      </c>
      <c r="C1082" s="751" t="s">
        <v>2960</v>
      </c>
      <c r="D1082" s="752" t="s">
        <v>1181</v>
      </c>
      <c r="E1082" s="752" t="s">
        <v>1118</v>
      </c>
      <c r="F1082" s="751">
        <v>56927</v>
      </c>
      <c r="G1082" s="752" t="s">
        <v>43</v>
      </c>
      <c r="H1082" s="752" t="s">
        <v>1245</v>
      </c>
      <c r="I1082" s="752" t="s">
        <v>60</v>
      </c>
      <c r="J1082" s="751">
        <v>22</v>
      </c>
      <c r="K1082" s="751">
        <v>2</v>
      </c>
      <c r="L1082" s="752" t="s">
        <v>54</v>
      </c>
      <c r="M1082" s="752" t="s">
        <v>52</v>
      </c>
      <c r="N1082" s="752" t="s">
        <v>41</v>
      </c>
      <c r="O1082" s="752" t="s">
        <v>41</v>
      </c>
      <c r="P1082" s="752" t="s">
        <v>1091</v>
      </c>
      <c r="Q1082" s="753">
        <v>1036335</v>
      </c>
      <c r="R1082" s="753">
        <v>1036335</v>
      </c>
      <c r="S1082" s="753">
        <v>1054988</v>
      </c>
      <c r="T1082" s="753">
        <v>1054988</v>
      </c>
      <c r="U1082" s="753">
        <v>105704</v>
      </c>
      <c r="V1082" s="751">
        <v>2019</v>
      </c>
      <c r="W1082" s="222" t="s">
        <v>2666</v>
      </c>
      <c r="X1082" s="186">
        <f t="shared" si="59"/>
        <v>9.9805873003859826</v>
      </c>
      <c r="Y1082" s="178" t="str">
        <f t="shared" si="55"/>
        <v/>
      </c>
      <c r="Z1082" s="178" t="str">
        <f t="shared" si="56"/>
        <v/>
      </c>
      <c r="AA1082" s="44"/>
      <c r="AB1082" s="179"/>
    </row>
    <row r="1083" spans="1:28" hidden="1">
      <c r="A1083" s="751">
        <v>55589</v>
      </c>
      <c r="B1083" s="752" t="s">
        <v>35</v>
      </c>
      <c r="C1083" s="751" t="s">
        <v>2960</v>
      </c>
      <c r="D1083" s="752" t="s">
        <v>1182</v>
      </c>
      <c r="E1083" s="752" t="s">
        <v>1050</v>
      </c>
      <c r="F1083" s="751">
        <v>25049</v>
      </c>
      <c r="G1083" s="752" t="s">
        <v>83</v>
      </c>
      <c r="H1083" s="752" t="s">
        <v>1245</v>
      </c>
      <c r="I1083" s="752" t="s">
        <v>60</v>
      </c>
      <c r="J1083" s="751">
        <v>22</v>
      </c>
      <c r="K1083" s="751">
        <v>2</v>
      </c>
      <c r="L1083" s="752" t="s">
        <v>54</v>
      </c>
      <c r="M1083" s="752" t="s">
        <v>52</v>
      </c>
      <c r="N1083" s="752" t="s">
        <v>65</v>
      </c>
      <c r="O1083" s="752" t="s">
        <v>66</v>
      </c>
      <c r="P1083" s="752" t="s">
        <v>1091</v>
      </c>
      <c r="Q1083" s="753">
        <v>779553</v>
      </c>
      <c r="R1083" s="753">
        <v>779553</v>
      </c>
      <c r="S1083" s="753">
        <v>351579</v>
      </c>
      <c r="T1083" s="753">
        <v>351579</v>
      </c>
      <c r="U1083" s="753">
        <v>16361</v>
      </c>
      <c r="V1083" s="751">
        <v>2019</v>
      </c>
      <c r="W1083" s="222"/>
      <c r="X1083" s="186">
        <f t="shared" si="59"/>
        <v>21.488845425096265</v>
      </c>
      <c r="Y1083" s="178" t="str">
        <f t="shared" si="55"/>
        <v/>
      </c>
      <c r="Z1083" s="178" t="str">
        <f t="shared" si="56"/>
        <v/>
      </c>
      <c r="AA1083" s="44"/>
      <c r="AB1083" s="65"/>
    </row>
    <row r="1084" spans="1:28" hidden="1">
      <c r="A1084" s="751">
        <v>55600</v>
      </c>
      <c r="B1084" s="752" t="s">
        <v>56</v>
      </c>
      <c r="C1084" s="751" t="s">
        <v>2960</v>
      </c>
      <c r="D1084" s="752" t="s">
        <v>1773</v>
      </c>
      <c r="E1084" s="752" t="s">
        <v>2256</v>
      </c>
      <c r="F1084" s="751">
        <v>61469</v>
      </c>
      <c r="G1084" s="752" t="s">
        <v>59</v>
      </c>
      <c r="H1084" s="752" t="s">
        <v>1244</v>
      </c>
      <c r="I1084" s="752" t="s">
        <v>60</v>
      </c>
      <c r="J1084" s="751">
        <v>22</v>
      </c>
      <c r="K1084" s="751">
        <v>3</v>
      </c>
      <c r="L1084" s="752" t="s">
        <v>57</v>
      </c>
      <c r="M1084" s="752" t="s">
        <v>52</v>
      </c>
      <c r="N1084" s="752" t="s">
        <v>48</v>
      </c>
      <c r="O1084" s="752" t="s">
        <v>48</v>
      </c>
      <c r="P1084" s="752" t="s">
        <v>49</v>
      </c>
      <c r="Q1084" s="753">
        <v>0</v>
      </c>
      <c r="R1084" s="753">
        <v>0</v>
      </c>
      <c r="S1084" s="753">
        <v>0</v>
      </c>
      <c r="T1084" s="753">
        <v>0</v>
      </c>
      <c r="U1084" s="753">
        <v>0</v>
      </c>
      <c r="V1084" s="751">
        <v>2019</v>
      </c>
      <c r="W1084" s="222"/>
      <c r="X1084" s="186" t="str">
        <f t="shared" si="59"/>
        <v/>
      </c>
      <c r="Y1084" s="178" t="str">
        <f t="shared" si="55"/>
        <v/>
      </c>
      <c r="Z1084" s="178" t="str">
        <f t="shared" si="56"/>
        <v/>
      </c>
      <c r="AA1084" s="44"/>
      <c r="AB1084" s="65"/>
    </row>
    <row r="1085" spans="1:28" hidden="1">
      <c r="A1085" s="751">
        <v>55600</v>
      </c>
      <c r="B1085" s="752" t="s">
        <v>56</v>
      </c>
      <c r="C1085" s="751" t="s">
        <v>2960</v>
      </c>
      <c r="D1085" s="752" t="s">
        <v>1773</v>
      </c>
      <c r="E1085" s="752" t="s">
        <v>2256</v>
      </c>
      <c r="F1085" s="751">
        <v>61469</v>
      </c>
      <c r="G1085" s="752" t="s">
        <v>59</v>
      </c>
      <c r="H1085" s="752" t="s">
        <v>1244</v>
      </c>
      <c r="I1085" s="752" t="s">
        <v>60</v>
      </c>
      <c r="J1085" s="751">
        <v>22</v>
      </c>
      <c r="K1085" s="751">
        <v>3</v>
      </c>
      <c r="L1085" s="752" t="s">
        <v>57</v>
      </c>
      <c r="M1085" s="752" t="s">
        <v>52</v>
      </c>
      <c r="N1085" s="752" t="s">
        <v>78</v>
      </c>
      <c r="O1085" s="752" t="s">
        <v>69</v>
      </c>
      <c r="P1085" s="752" t="s">
        <v>49</v>
      </c>
      <c r="Q1085" s="753">
        <v>0</v>
      </c>
      <c r="R1085" s="753">
        <v>0</v>
      </c>
      <c r="S1085" s="753">
        <v>0</v>
      </c>
      <c r="T1085" s="753">
        <v>0</v>
      </c>
      <c r="U1085" s="753">
        <v>0</v>
      </c>
      <c r="V1085" s="751">
        <v>2019</v>
      </c>
      <c r="W1085" s="222"/>
      <c r="X1085" s="186" t="str">
        <f t="shared" si="59"/>
        <v/>
      </c>
      <c r="Y1085" s="178" t="str">
        <f t="shared" si="55"/>
        <v/>
      </c>
      <c r="Z1085" s="178" t="str">
        <f t="shared" si="56"/>
        <v/>
      </c>
      <c r="AA1085" s="44"/>
      <c r="AB1085" s="65"/>
    </row>
    <row r="1086" spans="1:28" hidden="1">
      <c r="A1086" s="751">
        <v>55600</v>
      </c>
      <c r="B1086" s="752" t="s">
        <v>56</v>
      </c>
      <c r="C1086" s="751" t="s">
        <v>2960</v>
      </c>
      <c r="D1086" s="752" t="s">
        <v>1773</v>
      </c>
      <c r="E1086" s="752" t="s">
        <v>2256</v>
      </c>
      <c r="F1086" s="751">
        <v>61469</v>
      </c>
      <c r="G1086" s="752" t="s">
        <v>59</v>
      </c>
      <c r="H1086" s="752" t="s">
        <v>1244</v>
      </c>
      <c r="I1086" s="752" t="s">
        <v>60</v>
      </c>
      <c r="J1086" s="751">
        <v>22</v>
      </c>
      <c r="K1086" s="751">
        <v>3</v>
      </c>
      <c r="L1086" s="752" t="s">
        <v>57</v>
      </c>
      <c r="M1086" s="752" t="s">
        <v>52</v>
      </c>
      <c r="N1086" s="752" t="s">
        <v>41</v>
      </c>
      <c r="O1086" s="752" t="s">
        <v>41</v>
      </c>
      <c r="P1086" s="752" t="s">
        <v>1091</v>
      </c>
      <c r="Q1086" s="753">
        <v>0</v>
      </c>
      <c r="R1086" s="753">
        <v>0</v>
      </c>
      <c r="S1086" s="753">
        <v>0</v>
      </c>
      <c r="T1086" s="753">
        <v>0</v>
      </c>
      <c r="U1086" s="753">
        <v>0</v>
      </c>
      <c r="V1086" s="751">
        <v>2019</v>
      </c>
      <c r="W1086" s="222"/>
      <c r="X1086" s="186" t="str">
        <f t="shared" si="59"/>
        <v/>
      </c>
      <c r="Y1086" s="178" t="str">
        <f t="shared" si="55"/>
        <v/>
      </c>
      <c r="Z1086" s="178" t="str">
        <f t="shared" si="56"/>
        <v/>
      </c>
      <c r="AA1086" s="44"/>
      <c r="AB1086" s="65"/>
    </row>
    <row r="1087" spans="1:28" ht="25" hidden="1">
      <c r="A1087" s="751">
        <v>55619</v>
      </c>
      <c r="B1087" s="752" t="s">
        <v>35</v>
      </c>
      <c r="C1087" s="751" t="s">
        <v>2960</v>
      </c>
      <c r="D1087" s="752" t="s">
        <v>1051</v>
      </c>
      <c r="E1087" s="752" t="s">
        <v>1052</v>
      </c>
      <c r="F1087" s="751">
        <v>20238</v>
      </c>
      <c r="G1087" s="752" t="s">
        <v>59</v>
      </c>
      <c r="H1087" s="752" t="s">
        <v>1244</v>
      </c>
      <c r="I1087" s="752" t="s">
        <v>60</v>
      </c>
      <c r="J1087" s="751">
        <v>813</v>
      </c>
      <c r="K1087" s="751">
        <v>4</v>
      </c>
      <c r="L1087" s="752" t="s">
        <v>422</v>
      </c>
      <c r="M1087" s="752" t="s">
        <v>53</v>
      </c>
      <c r="N1087" s="752" t="s">
        <v>48</v>
      </c>
      <c r="O1087" s="752" t="s">
        <v>48</v>
      </c>
      <c r="P1087" s="752" t="s">
        <v>49</v>
      </c>
      <c r="Q1087" s="753">
        <v>0</v>
      </c>
      <c r="R1087" s="753">
        <v>0</v>
      </c>
      <c r="S1087" s="753">
        <v>0</v>
      </c>
      <c r="T1087" s="753">
        <v>0</v>
      </c>
      <c r="U1087" s="753">
        <v>0</v>
      </c>
      <c r="V1087" s="751">
        <v>2019</v>
      </c>
      <c r="W1087" s="222"/>
      <c r="X1087" s="186" t="str">
        <f t="shared" si="59"/>
        <v/>
      </c>
      <c r="Y1087" s="178" t="str">
        <f t="shared" si="55"/>
        <v/>
      </c>
      <c r="Z1087" s="178" t="str">
        <f t="shared" si="56"/>
        <v/>
      </c>
      <c r="AA1087" s="44"/>
      <c r="AB1087" s="65"/>
    </row>
    <row r="1088" spans="1:28" ht="25" hidden="1">
      <c r="A1088" s="751">
        <v>55619</v>
      </c>
      <c r="B1088" s="752" t="s">
        <v>35</v>
      </c>
      <c r="C1088" s="751" t="s">
        <v>2960</v>
      </c>
      <c r="D1088" s="752" t="s">
        <v>1051</v>
      </c>
      <c r="E1088" s="752" t="s">
        <v>1052</v>
      </c>
      <c r="F1088" s="751">
        <v>20238</v>
      </c>
      <c r="G1088" s="752" t="s">
        <v>59</v>
      </c>
      <c r="H1088" s="752" t="s">
        <v>1244</v>
      </c>
      <c r="I1088" s="752" t="s">
        <v>60</v>
      </c>
      <c r="J1088" s="751">
        <v>813</v>
      </c>
      <c r="K1088" s="751">
        <v>4</v>
      </c>
      <c r="L1088" s="752" t="s">
        <v>422</v>
      </c>
      <c r="M1088" s="752" t="s">
        <v>53</v>
      </c>
      <c r="N1088" s="752" t="s">
        <v>41</v>
      </c>
      <c r="O1088" s="752" t="s">
        <v>41</v>
      </c>
      <c r="P1088" s="752" t="s">
        <v>1091</v>
      </c>
      <c r="Q1088" s="753">
        <v>0</v>
      </c>
      <c r="R1088" s="753">
        <v>0</v>
      </c>
      <c r="S1088" s="753">
        <v>0</v>
      </c>
      <c r="T1088" s="753">
        <v>0</v>
      </c>
      <c r="U1088" s="753">
        <v>0</v>
      </c>
      <c r="V1088" s="751">
        <v>2019</v>
      </c>
      <c r="W1088" s="222"/>
      <c r="X1088" s="186" t="str">
        <f t="shared" si="59"/>
        <v/>
      </c>
      <c r="Y1088" s="178" t="str">
        <f t="shared" si="55"/>
        <v/>
      </c>
      <c r="Z1088" s="178" t="str">
        <f t="shared" si="56"/>
        <v/>
      </c>
      <c r="AA1088" s="44"/>
      <c r="AB1088" s="65"/>
    </row>
    <row r="1089" spans="1:28" s="154" customFormat="1" hidden="1">
      <c r="A1089" s="751">
        <v>55661</v>
      </c>
      <c r="B1089" s="752" t="s">
        <v>35</v>
      </c>
      <c r="C1089" s="751" t="s">
        <v>2960</v>
      </c>
      <c r="D1089" s="752" t="s">
        <v>1946</v>
      </c>
      <c r="E1089" s="752" t="s">
        <v>1946</v>
      </c>
      <c r="F1089" s="751">
        <v>13538</v>
      </c>
      <c r="G1089" s="752" t="s">
        <v>98</v>
      </c>
      <c r="H1089" s="752" t="s">
        <v>1245</v>
      </c>
      <c r="I1089" s="752" t="s">
        <v>60</v>
      </c>
      <c r="J1089" s="751">
        <v>22</v>
      </c>
      <c r="K1089" s="751">
        <v>2</v>
      </c>
      <c r="L1089" s="752" t="s">
        <v>54</v>
      </c>
      <c r="M1089" s="752" t="s">
        <v>40</v>
      </c>
      <c r="N1089" s="752" t="s">
        <v>48</v>
      </c>
      <c r="O1089" s="752" t="s">
        <v>48</v>
      </c>
      <c r="P1089" s="752" t="s">
        <v>49</v>
      </c>
      <c r="Q1089" s="753">
        <v>0</v>
      </c>
      <c r="R1089" s="753">
        <v>0</v>
      </c>
      <c r="S1089" s="753">
        <v>0</v>
      </c>
      <c r="T1089" s="753">
        <v>0</v>
      </c>
      <c r="U1089" s="753">
        <v>2414.6930000000002</v>
      </c>
      <c r="V1089" s="751">
        <v>2019</v>
      </c>
      <c r="W1089" s="222" t="s">
        <v>2666</v>
      </c>
      <c r="X1089" s="186" t="str">
        <f t="shared" si="59"/>
        <v/>
      </c>
      <c r="Y1089" s="178" t="str">
        <f t="shared" si="55"/>
        <v/>
      </c>
      <c r="Z1089" s="178" t="str">
        <f t="shared" si="56"/>
        <v/>
      </c>
      <c r="AA1089" s="44"/>
      <c r="AB1089" s="179"/>
    </row>
    <row r="1090" spans="1:28" hidden="1">
      <c r="A1090" s="751">
        <v>55661</v>
      </c>
      <c r="B1090" s="752" t="s">
        <v>35</v>
      </c>
      <c r="C1090" s="751" t="s">
        <v>2960</v>
      </c>
      <c r="D1090" s="752" t="s">
        <v>1946</v>
      </c>
      <c r="E1090" s="752" t="s">
        <v>1946</v>
      </c>
      <c r="F1090" s="751">
        <v>13538</v>
      </c>
      <c r="G1090" s="752" t="s">
        <v>98</v>
      </c>
      <c r="H1090" s="752" t="s">
        <v>1245</v>
      </c>
      <c r="I1090" s="752" t="s">
        <v>60</v>
      </c>
      <c r="J1090" s="751">
        <v>22</v>
      </c>
      <c r="K1090" s="751">
        <v>2</v>
      </c>
      <c r="L1090" s="752" t="s">
        <v>54</v>
      </c>
      <c r="M1090" s="752" t="s">
        <v>40</v>
      </c>
      <c r="N1090" s="752" t="s">
        <v>41</v>
      </c>
      <c r="O1090" s="752" t="s">
        <v>41</v>
      </c>
      <c r="P1090" s="752" t="s">
        <v>1091</v>
      </c>
      <c r="Q1090" s="753">
        <v>30948</v>
      </c>
      <c r="R1090" s="753">
        <v>30948</v>
      </c>
      <c r="S1090" s="753">
        <v>32122</v>
      </c>
      <c r="T1090" s="753">
        <v>32122</v>
      </c>
      <c r="U1090" s="753">
        <v>191237.31</v>
      </c>
      <c r="V1090" s="751">
        <v>2019</v>
      </c>
      <c r="W1090" s="222" t="s">
        <v>2666</v>
      </c>
      <c r="X1090" s="186">
        <f t="shared" si="59"/>
        <v>0.16796931519273095</v>
      </c>
      <c r="Y1090" s="178" t="str">
        <f t="shared" si="55"/>
        <v/>
      </c>
      <c r="Z1090" s="178" t="str">
        <f t="shared" si="56"/>
        <v/>
      </c>
      <c r="AA1090" s="44"/>
      <c r="AB1090" s="65"/>
    </row>
    <row r="1091" spans="1:28" s="154" customFormat="1" hidden="1">
      <c r="A1091" s="751">
        <v>55661</v>
      </c>
      <c r="B1091" s="752" t="s">
        <v>35</v>
      </c>
      <c r="C1091" s="751" t="s">
        <v>2960</v>
      </c>
      <c r="D1091" s="752" t="s">
        <v>1946</v>
      </c>
      <c r="E1091" s="752" t="s">
        <v>1946</v>
      </c>
      <c r="F1091" s="751">
        <v>13538</v>
      </c>
      <c r="G1091" s="752" t="s">
        <v>98</v>
      </c>
      <c r="H1091" s="752" t="s">
        <v>1245</v>
      </c>
      <c r="I1091" s="752" t="s">
        <v>60</v>
      </c>
      <c r="J1091" s="751">
        <v>22</v>
      </c>
      <c r="K1091" s="751">
        <v>2</v>
      </c>
      <c r="L1091" s="752" t="s">
        <v>54</v>
      </c>
      <c r="M1091" s="752" t="s">
        <v>43</v>
      </c>
      <c r="N1091" s="752" t="s">
        <v>48</v>
      </c>
      <c r="O1091" s="752" t="s">
        <v>48</v>
      </c>
      <c r="P1091" s="752" t="s">
        <v>49</v>
      </c>
      <c r="Q1091" s="753">
        <v>8794</v>
      </c>
      <c r="R1091" s="753">
        <v>8794</v>
      </c>
      <c r="S1091" s="753">
        <v>50602</v>
      </c>
      <c r="T1091" s="753">
        <v>50602</v>
      </c>
      <c r="U1091" s="753">
        <v>4371.9759999999997</v>
      </c>
      <c r="V1091" s="751">
        <v>2019</v>
      </c>
      <c r="W1091" s="222" t="s">
        <v>2666</v>
      </c>
      <c r="X1091" s="186">
        <f t="shared" si="59"/>
        <v>11.574171495909402</v>
      </c>
      <c r="Y1091" s="178" t="str">
        <f t="shared" si="55"/>
        <v/>
      </c>
      <c r="Z1091" s="178" t="str">
        <f t="shared" si="56"/>
        <v/>
      </c>
      <c r="AA1091" s="44"/>
      <c r="AB1091" s="179"/>
    </row>
    <row r="1092" spans="1:28" hidden="1">
      <c r="A1092" s="751">
        <v>55661</v>
      </c>
      <c r="B1092" s="752" t="s">
        <v>35</v>
      </c>
      <c r="C1092" s="751" t="s">
        <v>2960</v>
      </c>
      <c r="D1092" s="752" t="s">
        <v>1946</v>
      </c>
      <c r="E1092" s="752" t="s">
        <v>1946</v>
      </c>
      <c r="F1092" s="751">
        <v>13538</v>
      </c>
      <c r="G1092" s="752" t="s">
        <v>98</v>
      </c>
      <c r="H1092" s="752" t="s">
        <v>1245</v>
      </c>
      <c r="I1092" s="752" t="s">
        <v>60</v>
      </c>
      <c r="J1092" s="751">
        <v>22</v>
      </c>
      <c r="K1092" s="751">
        <v>2</v>
      </c>
      <c r="L1092" s="752" t="s">
        <v>54</v>
      </c>
      <c r="M1092" s="752" t="s">
        <v>43</v>
      </c>
      <c r="N1092" s="752" t="s">
        <v>41</v>
      </c>
      <c r="O1092" s="752" t="s">
        <v>41</v>
      </c>
      <c r="P1092" s="752" t="s">
        <v>1091</v>
      </c>
      <c r="Q1092" s="753">
        <v>3684807</v>
      </c>
      <c r="R1092" s="753">
        <v>3684807</v>
      </c>
      <c r="S1092" s="753">
        <v>3821162</v>
      </c>
      <c r="T1092" s="753">
        <v>3821162</v>
      </c>
      <c r="U1092" s="753">
        <v>319785.02</v>
      </c>
      <c r="V1092" s="751">
        <v>2019</v>
      </c>
      <c r="W1092" s="222" t="s">
        <v>2666</v>
      </c>
      <c r="X1092" s="186">
        <f t="shared" si="59"/>
        <v>11.94915884427607</v>
      </c>
      <c r="Y1092" s="178" t="str">
        <f t="shared" si="55"/>
        <v/>
      </c>
      <c r="Z1092" s="178" t="str">
        <f t="shared" si="56"/>
        <v/>
      </c>
      <c r="AA1092" s="44"/>
      <c r="AB1092" s="65"/>
    </row>
    <row r="1093" spans="1:28" hidden="1">
      <c r="A1093" s="751">
        <v>55699</v>
      </c>
      <c r="B1093" s="752" t="s">
        <v>35</v>
      </c>
      <c r="C1093" s="751" t="s">
        <v>2960</v>
      </c>
      <c r="D1093" s="752" t="s">
        <v>1053</v>
      </c>
      <c r="E1093" s="752" t="s">
        <v>1053</v>
      </c>
      <c r="F1093" s="751">
        <v>1268</v>
      </c>
      <c r="G1093" s="752" t="s">
        <v>59</v>
      </c>
      <c r="H1093" s="752" t="s">
        <v>1244</v>
      </c>
      <c r="I1093" s="752" t="s">
        <v>60</v>
      </c>
      <c r="J1093" s="751">
        <v>22</v>
      </c>
      <c r="K1093" s="751">
        <v>2</v>
      </c>
      <c r="L1093" s="752" t="s">
        <v>54</v>
      </c>
      <c r="M1093" s="752" t="s">
        <v>52</v>
      </c>
      <c r="N1093" s="752" t="s">
        <v>41</v>
      </c>
      <c r="O1093" s="752" t="s">
        <v>41</v>
      </c>
      <c r="P1093" s="752" t="s">
        <v>1091</v>
      </c>
      <c r="Q1093" s="753">
        <v>1324912</v>
      </c>
      <c r="R1093" s="753">
        <v>1324912</v>
      </c>
      <c r="S1093" s="753">
        <v>1364658</v>
      </c>
      <c r="T1093" s="753">
        <v>1364658</v>
      </c>
      <c r="U1093" s="753">
        <v>118939</v>
      </c>
      <c r="V1093" s="751">
        <v>2019</v>
      </c>
      <c r="W1093" s="222" t="s">
        <v>2666</v>
      </c>
      <c r="X1093" s="186">
        <f t="shared" si="59"/>
        <v>11.473595708724641</v>
      </c>
      <c r="Y1093" s="178" t="str">
        <f t="shared" si="55"/>
        <v/>
      </c>
      <c r="Z1093" s="178" t="str">
        <f t="shared" si="56"/>
        <v/>
      </c>
      <c r="AA1093" s="44"/>
      <c r="AB1093" s="65"/>
    </row>
    <row r="1094" spans="1:28" hidden="1">
      <c r="A1094" s="751">
        <v>55757</v>
      </c>
      <c r="B1094" s="752" t="s">
        <v>35</v>
      </c>
      <c r="C1094" s="751" t="s">
        <v>2960</v>
      </c>
      <c r="D1094" s="752" t="s">
        <v>1054</v>
      </c>
      <c r="E1094" s="752" t="s">
        <v>1055</v>
      </c>
      <c r="F1094" s="751">
        <v>12758</v>
      </c>
      <c r="G1094" s="752" t="s">
        <v>59</v>
      </c>
      <c r="H1094" s="752" t="s">
        <v>1244</v>
      </c>
      <c r="I1094" s="752" t="s">
        <v>60</v>
      </c>
      <c r="J1094" s="751">
        <v>22</v>
      </c>
      <c r="K1094" s="751">
        <v>2</v>
      </c>
      <c r="L1094" s="752" t="s">
        <v>54</v>
      </c>
      <c r="M1094" s="752" t="s">
        <v>53</v>
      </c>
      <c r="N1094" s="752" t="s">
        <v>65</v>
      </c>
      <c r="O1094" s="752" t="s">
        <v>66</v>
      </c>
      <c r="P1094" s="752" t="s">
        <v>1091</v>
      </c>
      <c r="Q1094" s="753">
        <v>1009070</v>
      </c>
      <c r="R1094" s="753">
        <v>1009070</v>
      </c>
      <c r="S1094" s="753">
        <v>567097</v>
      </c>
      <c r="T1094" s="753">
        <v>567097</v>
      </c>
      <c r="U1094" s="753">
        <v>39257</v>
      </c>
      <c r="V1094" s="751">
        <v>2019</v>
      </c>
      <c r="W1094" s="222"/>
      <c r="X1094" s="186">
        <f t="shared" si="59"/>
        <v>14.445754897215783</v>
      </c>
      <c r="Y1094" s="178" t="str">
        <f t="shared" si="55"/>
        <v/>
      </c>
      <c r="Z1094" s="178" t="str">
        <f t="shared" si="56"/>
        <v/>
      </c>
      <c r="AA1094" s="44"/>
      <c r="AB1094" s="65"/>
    </row>
    <row r="1095" spans="1:28" hidden="1">
      <c r="A1095" s="751">
        <v>55769</v>
      </c>
      <c r="B1095" s="752" t="s">
        <v>35</v>
      </c>
      <c r="C1095" s="751" t="s">
        <v>2960</v>
      </c>
      <c r="D1095" s="752" t="s">
        <v>1056</v>
      </c>
      <c r="E1095" s="752" t="s">
        <v>1056</v>
      </c>
      <c r="F1095" s="751">
        <v>49880</v>
      </c>
      <c r="G1095" s="752" t="s">
        <v>59</v>
      </c>
      <c r="H1095" s="752" t="s">
        <v>1244</v>
      </c>
      <c r="I1095" s="752" t="s">
        <v>60</v>
      </c>
      <c r="J1095" s="751">
        <v>22</v>
      </c>
      <c r="K1095" s="751">
        <v>2</v>
      </c>
      <c r="L1095" s="752" t="s">
        <v>54</v>
      </c>
      <c r="M1095" s="752" t="s">
        <v>73</v>
      </c>
      <c r="N1095" s="752" t="s">
        <v>74</v>
      </c>
      <c r="O1095" s="752" t="s">
        <v>74</v>
      </c>
      <c r="P1095" s="752" t="s">
        <v>1238</v>
      </c>
      <c r="Q1095" s="753">
        <v>0</v>
      </c>
      <c r="R1095" s="753">
        <v>0</v>
      </c>
      <c r="S1095" s="753">
        <v>167653</v>
      </c>
      <c r="T1095" s="753">
        <v>167653</v>
      </c>
      <c r="U1095" s="753">
        <v>18829</v>
      </c>
      <c r="V1095" s="751">
        <v>2019</v>
      </c>
      <c r="W1095" s="222"/>
      <c r="X1095" s="186">
        <f t="shared" si="59"/>
        <v>8.9039779064209466</v>
      </c>
      <c r="Y1095" s="178" t="str">
        <f t="shared" ref="Y1095:Y1158" si="60">IF(AND($M1095=$Y$2,$N1095=$Y$3,NOT($Q1095=$R1095),NOT($U1095=0)),IF($K1095=5,$S1095/($U1095+(8/5)*$U1095),IF($K1095=7,$S1095/($U1095+(29/25)*$U1095),"")),"")</f>
        <v/>
      </c>
      <c r="Z1095" s="178" t="str">
        <f t="shared" ref="Z1095:Z1158" si="61">IF(AND($M1095=$Y$2,$N1095=$Y$4,NOT($Q1095=$R1095),NOT($U1095=0)),IF($K1095=5,$S1095/($U1095+(8/5)*$U1095),IF($K1095=7,$S1095/($U1095+(29/25)*$U1095),"")),"")</f>
        <v/>
      </c>
      <c r="AA1095" s="44"/>
      <c r="AB1095" s="65"/>
    </row>
    <row r="1096" spans="1:28" s="154" customFormat="1" hidden="1">
      <c r="A1096" s="751">
        <v>55786</v>
      </c>
      <c r="B1096" s="752" t="s">
        <v>35</v>
      </c>
      <c r="C1096" s="751" t="s">
        <v>2960</v>
      </c>
      <c r="D1096" s="752" t="s">
        <v>1119</v>
      </c>
      <c r="E1096" s="752" t="s">
        <v>1119</v>
      </c>
      <c r="F1096" s="751">
        <v>56852</v>
      </c>
      <c r="G1096" s="752" t="s">
        <v>59</v>
      </c>
      <c r="H1096" s="752" t="s">
        <v>1244</v>
      </c>
      <c r="I1096" s="752" t="s">
        <v>60</v>
      </c>
      <c r="J1096" s="751">
        <v>22</v>
      </c>
      <c r="K1096" s="751">
        <v>2</v>
      </c>
      <c r="L1096" s="752" t="s">
        <v>54</v>
      </c>
      <c r="M1096" s="752" t="s">
        <v>52</v>
      </c>
      <c r="N1096" s="752" t="s">
        <v>41</v>
      </c>
      <c r="O1096" s="752" t="s">
        <v>41</v>
      </c>
      <c r="P1096" s="752" t="s">
        <v>1091</v>
      </c>
      <c r="Q1096" s="753">
        <v>626835</v>
      </c>
      <c r="R1096" s="753">
        <v>626835</v>
      </c>
      <c r="S1096" s="753">
        <v>626835</v>
      </c>
      <c r="T1096" s="753">
        <v>626835</v>
      </c>
      <c r="U1096" s="753">
        <v>60588</v>
      </c>
      <c r="V1096" s="751">
        <v>2019</v>
      </c>
      <c r="W1096" s="222" t="s">
        <v>2666</v>
      </c>
      <c r="X1096" s="186"/>
      <c r="Y1096" s="178" t="str">
        <f t="shared" si="60"/>
        <v/>
      </c>
      <c r="Z1096" s="178" t="str">
        <f t="shared" si="61"/>
        <v/>
      </c>
      <c r="AA1096" s="44"/>
      <c r="AB1096" s="179"/>
    </row>
    <row r="1097" spans="1:28" hidden="1">
      <c r="A1097" s="751">
        <v>55787</v>
      </c>
      <c r="B1097" s="752" t="s">
        <v>35</v>
      </c>
      <c r="C1097" s="751" t="s">
        <v>2960</v>
      </c>
      <c r="D1097" s="752" t="s">
        <v>1120</v>
      </c>
      <c r="E1097" s="752" t="s">
        <v>1120</v>
      </c>
      <c r="F1097" s="751">
        <v>56853</v>
      </c>
      <c r="G1097" s="752" t="s">
        <v>59</v>
      </c>
      <c r="H1097" s="752" t="s">
        <v>1244</v>
      </c>
      <c r="I1097" s="752" t="s">
        <v>60</v>
      </c>
      <c r="J1097" s="751">
        <v>22</v>
      </c>
      <c r="K1097" s="751">
        <v>2</v>
      </c>
      <c r="L1097" s="752" t="s">
        <v>54</v>
      </c>
      <c r="M1097" s="752" t="s">
        <v>52</v>
      </c>
      <c r="N1097" s="752" t="s">
        <v>48</v>
      </c>
      <c r="O1097" s="752" t="s">
        <v>48</v>
      </c>
      <c r="P1097" s="752" t="s">
        <v>49</v>
      </c>
      <c r="Q1097" s="753">
        <v>0</v>
      </c>
      <c r="R1097" s="753">
        <v>0</v>
      </c>
      <c r="S1097" s="753">
        <v>0</v>
      </c>
      <c r="T1097" s="753">
        <v>0</v>
      </c>
      <c r="U1097" s="753">
        <v>0</v>
      </c>
      <c r="V1097" s="751">
        <v>2019</v>
      </c>
      <c r="W1097" s="222" t="s">
        <v>2666</v>
      </c>
      <c r="X1097" s="186" t="str">
        <f>IF(OR(K1097&gt;3,T1097=0,NOT(U1097&gt;0)),"",T1097/U1097)</f>
        <v/>
      </c>
      <c r="Y1097" s="178" t="str">
        <f t="shared" si="60"/>
        <v/>
      </c>
      <c r="Z1097" s="178" t="str">
        <f t="shared" si="61"/>
        <v/>
      </c>
      <c r="AA1097" s="44"/>
      <c r="AB1097" s="65"/>
    </row>
    <row r="1098" spans="1:28" hidden="1">
      <c r="A1098" s="751">
        <v>55787</v>
      </c>
      <c r="B1098" s="752" t="s">
        <v>35</v>
      </c>
      <c r="C1098" s="751" t="s">
        <v>2960</v>
      </c>
      <c r="D1098" s="752" t="s">
        <v>1120</v>
      </c>
      <c r="E1098" s="752" t="s">
        <v>1120</v>
      </c>
      <c r="F1098" s="751">
        <v>56853</v>
      </c>
      <c r="G1098" s="752" t="s">
        <v>59</v>
      </c>
      <c r="H1098" s="752" t="s">
        <v>1244</v>
      </c>
      <c r="I1098" s="752" t="s">
        <v>60</v>
      </c>
      <c r="J1098" s="751">
        <v>22</v>
      </c>
      <c r="K1098" s="751">
        <v>2</v>
      </c>
      <c r="L1098" s="752" t="s">
        <v>54</v>
      </c>
      <c r="M1098" s="752" t="s">
        <v>52</v>
      </c>
      <c r="N1098" s="752" t="s">
        <v>78</v>
      </c>
      <c r="O1098" s="752" t="s">
        <v>69</v>
      </c>
      <c r="P1098" s="752" t="s">
        <v>49</v>
      </c>
      <c r="Q1098" s="753">
        <v>3959</v>
      </c>
      <c r="R1098" s="753">
        <v>3959</v>
      </c>
      <c r="S1098" s="753">
        <v>22172</v>
      </c>
      <c r="T1098" s="753">
        <v>22172</v>
      </c>
      <c r="U1098" s="753">
        <v>4757</v>
      </c>
      <c r="V1098" s="751">
        <v>2019</v>
      </c>
      <c r="W1098" s="222" t="s">
        <v>2666</v>
      </c>
      <c r="X1098" s="186">
        <f>IF(OR(K1098&gt;3,T1098=0,NOT(U1098&gt;0)),"",T1098/U1098)</f>
        <v>4.6609207483708222</v>
      </c>
      <c r="Y1098" s="178" t="str">
        <f t="shared" si="60"/>
        <v/>
      </c>
      <c r="Z1098" s="178" t="str">
        <f t="shared" si="61"/>
        <v/>
      </c>
      <c r="AA1098" s="44"/>
      <c r="AB1098" s="65"/>
    </row>
    <row r="1099" spans="1:28" hidden="1">
      <c r="A1099" s="751">
        <v>55790</v>
      </c>
      <c r="B1099" s="752" t="s">
        <v>35</v>
      </c>
      <c r="C1099" s="751" t="s">
        <v>2960</v>
      </c>
      <c r="D1099" s="752" t="s">
        <v>1057</v>
      </c>
      <c r="E1099" s="752" t="s">
        <v>840</v>
      </c>
      <c r="F1099" s="751">
        <v>34688</v>
      </c>
      <c r="G1099" s="752" t="s">
        <v>59</v>
      </c>
      <c r="H1099" s="752" t="s">
        <v>1244</v>
      </c>
      <c r="I1099" s="752" t="s">
        <v>60</v>
      </c>
      <c r="J1099" s="751">
        <v>22</v>
      </c>
      <c r="K1099" s="751">
        <v>2</v>
      </c>
      <c r="L1099" s="752" t="s">
        <v>54</v>
      </c>
      <c r="M1099" s="752" t="s">
        <v>73</v>
      </c>
      <c r="N1099" s="752" t="s">
        <v>74</v>
      </c>
      <c r="O1099" s="752" t="s">
        <v>74</v>
      </c>
      <c r="P1099" s="752" t="s">
        <v>1238</v>
      </c>
      <c r="Q1099" s="753">
        <v>0</v>
      </c>
      <c r="R1099" s="753">
        <v>0</v>
      </c>
      <c r="S1099" s="753">
        <v>704565</v>
      </c>
      <c r="T1099" s="753">
        <v>704565</v>
      </c>
      <c r="U1099" s="753">
        <v>79129</v>
      </c>
      <c r="V1099" s="751">
        <v>2019</v>
      </c>
      <c r="W1099" s="222"/>
      <c r="X1099" s="186">
        <f>IF(OR(K1099&gt;3,T1099=0,NOT(U1099&gt;0)),"",T1099/U1099)</f>
        <v>8.9040048528352429</v>
      </c>
      <c r="Y1099" s="178" t="str">
        <f t="shared" si="60"/>
        <v/>
      </c>
      <c r="Z1099" s="178" t="str">
        <f t="shared" si="61"/>
        <v/>
      </c>
      <c r="AA1099" s="44"/>
      <c r="AB1099" s="65"/>
    </row>
    <row r="1100" spans="1:28" hidden="1">
      <c r="A1100" s="751">
        <v>55860</v>
      </c>
      <c r="B1100" s="752" t="s">
        <v>35</v>
      </c>
      <c r="C1100" s="751" t="s">
        <v>2960</v>
      </c>
      <c r="D1100" s="752" t="s">
        <v>1058</v>
      </c>
      <c r="E1100" s="752" t="s">
        <v>1059</v>
      </c>
      <c r="F1100" s="751">
        <v>25771</v>
      </c>
      <c r="G1100" s="752" t="s">
        <v>43</v>
      </c>
      <c r="H1100" s="752" t="s">
        <v>1245</v>
      </c>
      <c r="I1100" s="752" t="s">
        <v>60</v>
      </c>
      <c r="J1100" s="751">
        <v>22</v>
      </c>
      <c r="K1100" s="751">
        <v>2</v>
      </c>
      <c r="L1100" s="752" t="s">
        <v>54</v>
      </c>
      <c r="M1100" s="752" t="s">
        <v>37</v>
      </c>
      <c r="N1100" s="752" t="s">
        <v>38</v>
      </c>
      <c r="O1100" s="752" t="s">
        <v>39</v>
      </c>
      <c r="P1100" s="752" t="s">
        <v>1238</v>
      </c>
      <c r="Q1100" s="753">
        <v>0</v>
      </c>
      <c r="R1100" s="753">
        <v>0</v>
      </c>
      <c r="S1100" s="753">
        <v>76706</v>
      </c>
      <c r="T1100" s="753">
        <v>76706</v>
      </c>
      <c r="U1100" s="753">
        <v>8615</v>
      </c>
      <c r="V1100" s="751">
        <v>2019</v>
      </c>
      <c r="W1100" s="222"/>
      <c r="X1100" s="186"/>
      <c r="Y1100" s="178" t="str">
        <f t="shared" si="60"/>
        <v/>
      </c>
      <c r="Z1100" s="178" t="str">
        <f t="shared" si="61"/>
        <v/>
      </c>
      <c r="AA1100" s="44"/>
      <c r="AB1100" s="65"/>
    </row>
    <row r="1101" spans="1:28" s="154" customFormat="1" hidden="1">
      <c r="A1101" s="751">
        <v>55969</v>
      </c>
      <c r="B1101" s="752" t="s">
        <v>35</v>
      </c>
      <c r="C1101" s="751" t="s">
        <v>2960</v>
      </c>
      <c r="D1101" s="752" t="s">
        <v>1060</v>
      </c>
      <c r="E1101" s="752" t="s">
        <v>1060</v>
      </c>
      <c r="F1101" s="751">
        <v>7308</v>
      </c>
      <c r="G1101" s="752" t="s">
        <v>59</v>
      </c>
      <c r="H1101" s="752" t="s">
        <v>1244</v>
      </c>
      <c r="I1101" s="752" t="s">
        <v>60</v>
      </c>
      <c r="J1101" s="751">
        <v>22</v>
      </c>
      <c r="K1101" s="751">
        <v>2</v>
      </c>
      <c r="L1101" s="752" t="s">
        <v>54</v>
      </c>
      <c r="M1101" s="752" t="s">
        <v>52</v>
      </c>
      <c r="N1101" s="752" t="s">
        <v>48</v>
      </c>
      <c r="O1101" s="752" t="s">
        <v>48</v>
      </c>
      <c r="P1101" s="752" t="s">
        <v>49</v>
      </c>
      <c r="Q1101" s="753">
        <v>0</v>
      </c>
      <c r="R1101" s="753">
        <v>0</v>
      </c>
      <c r="S1101" s="753">
        <v>0</v>
      </c>
      <c r="T1101" s="753">
        <v>0</v>
      </c>
      <c r="U1101" s="753">
        <v>0</v>
      </c>
      <c r="V1101" s="751">
        <v>2019</v>
      </c>
      <c r="W1101" s="222" t="s">
        <v>2666</v>
      </c>
      <c r="X1101" s="186"/>
      <c r="Y1101" s="178" t="str">
        <f t="shared" si="60"/>
        <v/>
      </c>
      <c r="Z1101" s="178" t="str">
        <f t="shared" si="61"/>
        <v/>
      </c>
      <c r="AA1101" s="44"/>
      <c r="AB1101" s="179"/>
    </row>
    <row r="1102" spans="1:28" hidden="1">
      <c r="A1102" s="751">
        <v>55969</v>
      </c>
      <c r="B1102" s="752" t="s">
        <v>35</v>
      </c>
      <c r="C1102" s="751" t="s">
        <v>2960</v>
      </c>
      <c r="D1102" s="752" t="s">
        <v>1060</v>
      </c>
      <c r="E1102" s="752" t="s">
        <v>1060</v>
      </c>
      <c r="F1102" s="751">
        <v>7308</v>
      </c>
      <c r="G1102" s="752" t="s">
        <v>59</v>
      </c>
      <c r="H1102" s="752" t="s">
        <v>1244</v>
      </c>
      <c r="I1102" s="752" t="s">
        <v>60</v>
      </c>
      <c r="J1102" s="751">
        <v>22</v>
      </c>
      <c r="K1102" s="751">
        <v>2</v>
      </c>
      <c r="L1102" s="752" t="s">
        <v>54</v>
      </c>
      <c r="M1102" s="752" t="s">
        <v>52</v>
      </c>
      <c r="N1102" s="752" t="s">
        <v>78</v>
      </c>
      <c r="O1102" s="752" t="s">
        <v>69</v>
      </c>
      <c r="P1102" s="752" t="s">
        <v>49</v>
      </c>
      <c r="Q1102" s="753">
        <v>58720</v>
      </c>
      <c r="R1102" s="753">
        <v>58720</v>
      </c>
      <c r="S1102" s="753">
        <v>335409</v>
      </c>
      <c r="T1102" s="753">
        <v>335409</v>
      </c>
      <c r="U1102" s="753">
        <v>30547</v>
      </c>
      <c r="V1102" s="751">
        <v>2019</v>
      </c>
      <c r="W1102" s="222" t="s">
        <v>2666</v>
      </c>
      <c r="X1102" s="186"/>
      <c r="Y1102" s="178" t="str">
        <f t="shared" si="60"/>
        <v/>
      </c>
      <c r="Z1102" s="178" t="str">
        <f t="shared" si="61"/>
        <v/>
      </c>
      <c r="AA1102" s="44"/>
      <c r="AB1102" s="65"/>
    </row>
    <row r="1103" spans="1:28" hidden="1">
      <c r="A1103" s="751">
        <v>56032</v>
      </c>
      <c r="B1103" s="752" t="s">
        <v>35</v>
      </c>
      <c r="C1103" s="751" t="s">
        <v>2960</v>
      </c>
      <c r="D1103" s="752" t="s">
        <v>1061</v>
      </c>
      <c r="E1103" s="752" t="s">
        <v>1062</v>
      </c>
      <c r="F1103" s="751">
        <v>49845</v>
      </c>
      <c r="G1103" s="752" t="s">
        <v>59</v>
      </c>
      <c r="H1103" s="752" t="s">
        <v>1244</v>
      </c>
      <c r="I1103" s="752" t="s">
        <v>60</v>
      </c>
      <c r="J1103" s="751">
        <v>22</v>
      </c>
      <c r="K1103" s="751">
        <v>2</v>
      </c>
      <c r="L1103" s="752" t="s">
        <v>54</v>
      </c>
      <c r="M1103" s="752" t="s">
        <v>52</v>
      </c>
      <c r="N1103" s="752" t="s">
        <v>78</v>
      </c>
      <c r="O1103" s="752" t="s">
        <v>69</v>
      </c>
      <c r="P1103" s="752" t="s">
        <v>49</v>
      </c>
      <c r="Q1103" s="753">
        <v>118</v>
      </c>
      <c r="R1103" s="753">
        <v>118</v>
      </c>
      <c r="S1103" s="753">
        <v>661</v>
      </c>
      <c r="T1103" s="753">
        <v>661</v>
      </c>
      <c r="U1103" s="753">
        <v>61.453000000000003</v>
      </c>
      <c r="V1103" s="751">
        <v>2019</v>
      </c>
      <c r="W1103" s="222" t="s">
        <v>2666</v>
      </c>
      <c r="X1103" s="186">
        <f t="shared" ref="X1103:X1128" si="62">IF(OR(K1103&gt;3,T1103=0,NOT(U1103&gt;0)),"",T1103/U1103)</f>
        <v>10.756187655606723</v>
      </c>
      <c r="Y1103" s="178" t="str">
        <f t="shared" si="60"/>
        <v/>
      </c>
      <c r="Z1103" s="178" t="str">
        <f t="shared" si="61"/>
        <v/>
      </c>
      <c r="AA1103" s="44"/>
      <c r="AB1103" s="65"/>
    </row>
    <row r="1104" spans="1:28" hidden="1">
      <c r="A1104" s="751">
        <v>56032</v>
      </c>
      <c r="B1104" s="752" t="s">
        <v>35</v>
      </c>
      <c r="C1104" s="751" t="s">
        <v>2960</v>
      </c>
      <c r="D1104" s="752" t="s">
        <v>1061</v>
      </c>
      <c r="E1104" s="752" t="s">
        <v>1062</v>
      </c>
      <c r="F1104" s="751">
        <v>49845</v>
      </c>
      <c r="G1104" s="752" t="s">
        <v>59</v>
      </c>
      <c r="H1104" s="752" t="s">
        <v>1244</v>
      </c>
      <c r="I1104" s="752" t="s">
        <v>60</v>
      </c>
      <c r="J1104" s="751">
        <v>22</v>
      </c>
      <c r="K1104" s="751">
        <v>2</v>
      </c>
      <c r="L1104" s="752" t="s">
        <v>54</v>
      </c>
      <c r="M1104" s="752" t="s">
        <v>52</v>
      </c>
      <c r="N1104" s="752" t="s">
        <v>41</v>
      </c>
      <c r="O1104" s="752" t="s">
        <v>41</v>
      </c>
      <c r="P1104" s="752" t="s">
        <v>1091</v>
      </c>
      <c r="Q1104" s="753">
        <v>416060</v>
      </c>
      <c r="R1104" s="753">
        <v>416060</v>
      </c>
      <c r="S1104" s="753">
        <v>428542</v>
      </c>
      <c r="T1104" s="753">
        <v>428542</v>
      </c>
      <c r="U1104" s="753">
        <v>39853.546999999999</v>
      </c>
      <c r="V1104" s="751">
        <v>2019</v>
      </c>
      <c r="W1104" s="222" t="s">
        <v>2666</v>
      </c>
      <c r="X1104" s="186">
        <f t="shared" si="62"/>
        <v>10.752919934579474</v>
      </c>
      <c r="Y1104" s="178" t="str">
        <f t="shared" si="60"/>
        <v/>
      </c>
      <c r="Z1104" s="178" t="str">
        <f t="shared" si="61"/>
        <v/>
      </c>
      <c r="AA1104" s="44"/>
      <c r="AB1104" s="65"/>
    </row>
    <row r="1105" spans="1:28" hidden="1">
      <c r="A1105" s="751">
        <v>56047</v>
      </c>
      <c r="B1105" s="752" t="s">
        <v>35</v>
      </c>
      <c r="C1105" s="751" t="s">
        <v>2960</v>
      </c>
      <c r="D1105" s="752" t="s">
        <v>2445</v>
      </c>
      <c r="E1105" s="752" t="s">
        <v>2465</v>
      </c>
      <c r="F1105" s="751">
        <v>19002</v>
      </c>
      <c r="G1105" s="752" t="s">
        <v>43</v>
      </c>
      <c r="H1105" s="752" t="s">
        <v>1245</v>
      </c>
      <c r="I1105" s="752" t="s">
        <v>60</v>
      </c>
      <c r="J1105" s="751">
        <v>22</v>
      </c>
      <c r="K1105" s="751">
        <v>2</v>
      </c>
      <c r="L1105" s="752" t="s">
        <v>54</v>
      </c>
      <c r="M1105" s="752" t="s">
        <v>40</v>
      </c>
      <c r="N1105" s="752" t="s">
        <v>48</v>
      </c>
      <c r="O1105" s="752" t="s">
        <v>48</v>
      </c>
      <c r="P1105" s="752" t="s">
        <v>49</v>
      </c>
      <c r="Q1105" s="753">
        <v>0</v>
      </c>
      <c r="R1105" s="753">
        <v>0</v>
      </c>
      <c r="S1105" s="753">
        <v>0</v>
      </c>
      <c r="T1105" s="753">
        <v>0</v>
      </c>
      <c r="U1105" s="753">
        <v>552.846</v>
      </c>
      <c r="V1105" s="751">
        <v>2019</v>
      </c>
      <c r="W1105" s="222" t="s">
        <v>2666</v>
      </c>
      <c r="X1105" s="186" t="str">
        <f t="shared" si="62"/>
        <v/>
      </c>
      <c r="Y1105" s="178" t="str">
        <f t="shared" si="60"/>
        <v/>
      </c>
      <c r="Z1105" s="178" t="str">
        <f t="shared" si="61"/>
        <v/>
      </c>
      <c r="AA1105" s="44"/>
      <c r="AB1105" s="65"/>
    </row>
    <row r="1106" spans="1:28" hidden="1">
      <c r="A1106" s="751">
        <v>56047</v>
      </c>
      <c r="B1106" s="752" t="s">
        <v>35</v>
      </c>
      <c r="C1106" s="751" t="s">
        <v>2960</v>
      </c>
      <c r="D1106" s="752" t="s">
        <v>2445</v>
      </c>
      <c r="E1106" s="752" t="s">
        <v>2465</v>
      </c>
      <c r="F1106" s="751">
        <v>19002</v>
      </c>
      <c r="G1106" s="752" t="s">
        <v>43</v>
      </c>
      <c r="H1106" s="752" t="s">
        <v>1245</v>
      </c>
      <c r="I1106" s="752" t="s">
        <v>60</v>
      </c>
      <c r="J1106" s="751">
        <v>22</v>
      </c>
      <c r="K1106" s="751">
        <v>2</v>
      </c>
      <c r="L1106" s="752" t="s">
        <v>54</v>
      </c>
      <c r="M1106" s="752" t="s">
        <v>40</v>
      </c>
      <c r="N1106" s="752" t="s">
        <v>41</v>
      </c>
      <c r="O1106" s="752" t="s">
        <v>41</v>
      </c>
      <c r="P1106" s="752" t="s">
        <v>1091</v>
      </c>
      <c r="Q1106" s="753">
        <v>274841</v>
      </c>
      <c r="R1106" s="753">
        <v>274841</v>
      </c>
      <c r="S1106" s="753">
        <v>283121</v>
      </c>
      <c r="T1106" s="753">
        <v>283121</v>
      </c>
      <c r="U1106" s="753">
        <v>1201136.2</v>
      </c>
      <c r="V1106" s="751">
        <v>2019</v>
      </c>
      <c r="W1106" s="222" t="s">
        <v>2666</v>
      </c>
      <c r="X1106" s="186">
        <f t="shared" si="62"/>
        <v>0.23571098764653001</v>
      </c>
      <c r="Y1106" s="178" t="str">
        <f t="shared" si="60"/>
        <v/>
      </c>
      <c r="Z1106" s="178" t="str">
        <f t="shared" si="61"/>
        <v/>
      </c>
      <c r="AA1106" s="44"/>
      <c r="AB1106" s="65"/>
    </row>
    <row r="1107" spans="1:28" hidden="1">
      <c r="A1107" s="751">
        <v>56047</v>
      </c>
      <c r="B1107" s="752" t="s">
        <v>35</v>
      </c>
      <c r="C1107" s="751" t="s">
        <v>2960</v>
      </c>
      <c r="D1107" s="752" t="s">
        <v>2445</v>
      </c>
      <c r="E1107" s="752" t="s">
        <v>2465</v>
      </c>
      <c r="F1107" s="751">
        <v>19002</v>
      </c>
      <c r="G1107" s="752" t="s">
        <v>43</v>
      </c>
      <c r="H1107" s="752" t="s">
        <v>1245</v>
      </c>
      <c r="I1107" s="752" t="s">
        <v>60</v>
      </c>
      <c r="J1107" s="751">
        <v>22</v>
      </c>
      <c r="K1107" s="751">
        <v>2</v>
      </c>
      <c r="L1107" s="752" t="s">
        <v>54</v>
      </c>
      <c r="M1107" s="752" t="s">
        <v>43</v>
      </c>
      <c r="N1107" s="752" t="s">
        <v>48</v>
      </c>
      <c r="O1107" s="752" t="s">
        <v>48</v>
      </c>
      <c r="P1107" s="752" t="s">
        <v>49</v>
      </c>
      <c r="Q1107" s="753">
        <v>2195</v>
      </c>
      <c r="R1107" s="753">
        <v>2195</v>
      </c>
      <c r="S1107" s="753">
        <v>12737</v>
      </c>
      <c r="T1107" s="753">
        <v>12737</v>
      </c>
      <c r="U1107" s="753">
        <v>1260.809</v>
      </c>
      <c r="V1107" s="751">
        <v>2019</v>
      </c>
      <c r="W1107" s="222" t="s">
        <v>2666</v>
      </c>
      <c r="X1107" s="186">
        <f t="shared" si="62"/>
        <v>10.102243876748977</v>
      </c>
      <c r="Y1107" s="178" t="str">
        <f t="shared" si="60"/>
        <v/>
      </c>
      <c r="Z1107" s="178" t="str">
        <f t="shared" si="61"/>
        <v/>
      </c>
      <c r="AA1107" s="44"/>
      <c r="AB1107" s="65"/>
    </row>
    <row r="1108" spans="1:28" hidden="1">
      <c r="A1108" s="751">
        <v>56047</v>
      </c>
      <c r="B1108" s="752" t="s">
        <v>35</v>
      </c>
      <c r="C1108" s="751" t="s">
        <v>2960</v>
      </c>
      <c r="D1108" s="752" t="s">
        <v>2445</v>
      </c>
      <c r="E1108" s="752" t="s">
        <v>2465</v>
      </c>
      <c r="F1108" s="751">
        <v>19002</v>
      </c>
      <c r="G1108" s="752" t="s">
        <v>43</v>
      </c>
      <c r="H1108" s="752" t="s">
        <v>1245</v>
      </c>
      <c r="I1108" s="752" t="s">
        <v>60</v>
      </c>
      <c r="J1108" s="751">
        <v>22</v>
      </c>
      <c r="K1108" s="751">
        <v>2</v>
      </c>
      <c r="L1108" s="752" t="s">
        <v>54</v>
      </c>
      <c r="M1108" s="752" t="s">
        <v>43</v>
      </c>
      <c r="N1108" s="752" t="s">
        <v>41</v>
      </c>
      <c r="O1108" s="752" t="s">
        <v>41</v>
      </c>
      <c r="P1108" s="752" t="s">
        <v>1091</v>
      </c>
      <c r="Q1108" s="753">
        <v>25180720</v>
      </c>
      <c r="R1108" s="753">
        <v>25180720</v>
      </c>
      <c r="S1108" s="753">
        <v>25966763</v>
      </c>
      <c r="T1108" s="753">
        <v>25966763</v>
      </c>
      <c r="U1108" s="753">
        <v>2664818.2000000002</v>
      </c>
      <c r="V1108" s="751">
        <v>2019</v>
      </c>
      <c r="W1108" s="222" t="s">
        <v>2666</v>
      </c>
      <c r="X1108" s="186">
        <f t="shared" si="62"/>
        <v>9.7442906236530504</v>
      </c>
      <c r="Y1108" s="178" t="str">
        <f t="shared" si="60"/>
        <v/>
      </c>
      <c r="Z1108" s="178" t="str">
        <f t="shared" si="61"/>
        <v/>
      </c>
      <c r="AA1108" s="44"/>
      <c r="AB1108" s="65"/>
    </row>
    <row r="1109" spans="1:28" ht="25" hidden="1">
      <c r="A1109" s="751">
        <v>56141</v>
      </c>
      <c r="B1109" s="752" t="s">
        <v>35</v>
      </c>
      <c r="C1109" s="751" t="s">
        <v>2960</v>
      </c>
      <c r="D1109" s="752" t="s">
        <v>1063</v>
      </c>
      <c r="E1109" s="752" t="s">
        <v>1064</v>
      </c>
      <c r="F1109" s="751">
        <v>49786</v>
      </c>
      <c r="G1109" s="752" t="s">
        <v>59</v>
      </c>
      <c r="H1109" s="752" t="s">
        <v>1244</v>
      </c>
      <c r="I1109" s="752" t="s">
        <v>60</v>
      </c>
      <c r="J1109" s="751">
        <v>22</v>
      </c>
      <c r="K1109" s="751">
        <v>2</v>
      </c>
      <c r="L1109" s="752" t="s">
        <v>54</v>
      </c>
      <c r="M1109" s="752" t="s">
        <v>52</v>
      </c>
      <c r="N1109" s="752" t="s">
        <v>78</v>
      </c>
      <c r="O1109" s="752" t="s">
        <v>69</v>
      </c>
      <c r="P1109" s="752" t="s">
        <v>49</v>
      </c>
      <c r="Q1109" s="753">
        <v>14839</v>
      </c>
      <c r="R1109" s="753">
        <v>14839</v>
      </c>
      <c r="S1109" s="753">
        <v>89180</v>
      </c>
      <c r="T1109" s="753">
        <v>89180</v>
      </c>
      <c r="U1109" s="753">
        <v>8289</v>
      </c>
      <c r="V1109" s="751">
        <v>2019</v>
      </c>
      <c r="W1109" s="222"/>
      <c r="X1109" s="186">
        <f t="shared" si="62"/>
        <v>10.758837012908675</v>
      </c>
      <c r="Y1109" s="86" t="str">
        <f t="shared" si="60"/>
        <v/>
      </c>
      <c r="Z1109" s="86" t="str">
        <f t="shared" si="61"/>
        <v/>
      </c>
      <c r="AA1109" s="44"/>
      <c r="AB1109" s="65"/>
    </row>
    <row r="1110" spans="1:28" hidden="1">
      <c r="A1110" s="751">
        <v>56188</v>
      </c>
      <c r="B1110" s="752" t="s">
        <v>35</v>
      </c>
      <c r="C1110" s="751" t="s">
        <v>2960</v>
      </c>
      <c r="D1110" s="752" t="s">
        <v>1065</v>
      </c>
      <c r="E1110" s="752" t="s">
        <v>1065</v>
      </c>
      <c r="F1110" s="751">
        <v>49837</v>
      </c>
      <c r="G1110" s="752" t="s">
        <v>59</v>
      </c>
      <c r="H1110" s="752" t="s">
        <v>1244</v>
      </c>
      <c r="I1110" s="752" t="s">
        <v>60</v>
      </c>
      <c r="J1110" s="751">
        <v>22</v>
      </c>
      <c r="K1110" s="751">
        <v>2</v>
      </c>
      <c r="L1110" s="752" t="s">
        <v>54</v>
      </c>
      <c r="M1110" s="752" t="s">
        <v>40</v>
      </c>
      <c r="N1110" s="752" t="s">
        <v>78</v>
      </c>
      <c r="O1110" s="752" t="s">
        <v>69</v>
      </c>
      <c r="P1110" s="752" t="s">
        <v>49</v>
      </c>
      <c r="Q1110" s="753">
        <v>0</v>
      </c>
      <c r="R1110" s="753">
        <v>0</v>
      </c>
      <c r="S1110" s="753">
        <v>0</v>
      </c>
      <c r="T1110" s="753">
        <v>0</v>
      </c>
      <c r="U1110" s="753">
        <v>58.878</v>
      </c>
      <c r="V1110" s="751">
        <v>2019</v>
      </c>
      <c r="W1110" s="222" t="s">
        <v>2666</v>
      </c>
      <c r="X1110" s="186" t="str">
        <f t="shared" si="62"/>
        <v/>
      </c>
      <c r="Y1110" s="86" t="str">
        <f t="shared" si="60"/>
        <v/>
      </c>
      <c r="Z1110" s="86" t="str">
        <f t="shared" si="61"/>
        <v/>
      </c>
      <c r="AA1110" s="44"/>
      <c r="AB1110" s="65"/>
    </row>
    <row r="1111" spans="1:28" s="154" customFormat="1" hidden="1">
      <c r="A1111" s="751">
        <v>56188</v>
      </c>
      <c r="B1111" s="752" t="s">
        <v>35</v>
      </c>
      <c r="C1111" s="751" t="s">
        <v>2960</v>
      </c>
      <c r="D1111" s="752" t="s">
        <v>1065</v>
      </c>
      <c r="E1111" s="752" t="s">
        <v>1065</v>
      </c>
      <c r="F1111" s="751">
        <v>49837</v>
      </c>
      <c r="G1111" s="752" t="s">
        <v>59</v>
      </c>
      <c r="H1111" s="752" t="s">
        <v>1244</v>
      </c>
      <c r="I1111" s="752" t="s">
        <v>60</v>
      </c>
      <c r="J1111" s="751">
        <v>22</v>
      </c>
      <c r="K1111" s="751">
        <v>2</v>
      </c>
      <c r="L1111" s="752" t="s">
        <v>54</v>
      </c>
      <c r="M1111" s="752" t="s">
        <v>40</v>
      </c>
      <c r="N1111" s="752" t="s">
        <v>41</v>
      </c>
      <c r="O1111" s="752" t="s">
        <v>41</v>
      </c>
      <c r="P1111" s="752" t="s">
        <v>1091</v>
      </c>
      <c r="Q1111" s="753">
        <v>906</v>
      </c>
      <c r="R1111" s="753">
        <v>906</v>
      </c>
      <c r="S1111" s="753">
        <v>933</v>
      </c>
      <c r="T1111" s="753">
        <v>933</v>
      </c>
      <c r="U1111" s="753">
        <v>10360.121999999999</v>
      </c>
      <c r="V1111" s="751">
        <v>2019</v>
      </c>
      <c r="W1111" s="222" t="s">
        <v>2666</v>
      </c>
      <c r="X1111" s="186">
        <f t="shared" si="62"/>
        <v>9.0056854542832604E-2</v>
      </c>
      <c r="Y1111" s="178" t="str">
        <f t="shared" si="60"/>
        <v/>
      </c>
      <c r="Z1111" s="178" t="str">
        <f t="shared" si="61"/>
        <v/>
      </c>
      <c r="AA1111" s="44"/>
      <c r="AB1111" s="179"/>
    </row>
    <row r="1112" spans="1:28" hidden="1">
      <c r="A1112" s="751">
        <v>56188</v>
      </c>
      <c r="B1112" s="752" t="s">
        <v>35</v>
      </c>
      <c r="C1112" s="751" t="s">
        <v>2960</v>
      </c>
      <c r="D1112" s="752" t="s">
        <v>1065</v>
      </c>
      <c r="E1112" s="752" t="s">
        <v>1065</v>
      </c>
      <c r="F1112" s="751">
        <v>49837</v>
      </c>
      <c r="G1112" s="752" t="s">
        <v>59</v>
      </c>
      <c r="H1112" s="752" t="s">
        <v>1244</v>
      </c>
      <c r="I1112" s="752" t="s">
        <v>60</v>
      </c>
      <c r="J1112" s="751">
        <v>22</v>
      </c>
      <c r="K1112" s="751">
        <v>2</v>
      </c>
      <c r="L1112" s="752" t="s">
        <v>54</v>
      </c>
      <c r="M1112" s="752" t="s">
        <v>43</v>
      </c>
      <c r="N1112" s="752" t="s">
        <v>78</v>
      </c>
      <c r="O1112" s="752" t="s">
        <v>69</v>
      </c>
      <c r="P1112" s="752" t="s">
        <v>49</v>
      </c>
      <c r="Q1112" s="753">
        <v>707</v>
      </c>
      <c r="R1112" s="753">
        <v>707</v>
      </c>
      <c r="S1112" s="753">
        <v>3959</v>
      </c>
      <c r="T1112" s="753">
        <v>3959</v>
      </c>
      <c r="U1112" s="753">
        <v>384.947</v>
      </c>
      <c r="V1112" s="751">
        <v>2019</v>
      </c>
      <c r="W1112" s="222" t="s">
        <v>2666</v>
      </c>
      <c r="X1112" s="186">
        <f t="shared" si="62"/>
        <v>10.284532675926815</v>
      </c>
      <c r="Y1112" s="178" t="str">
        <f t="shared" si="60"/>
        <v/>
      </c>
      <c r="Z1112" s="178" t="str">
        <f t="shared" si="61"/>
        <v/>
      </c>
      <c r="AA1112" s="44"/>
      <c r="AB1112" s="65"/>
    </row>
    <row r="1113" spans="1:28" hidden="1">
      <c r="A1113" s="751">
        <v>56188</v>
      </c>
      <c r="B1113" s="752" t="s">
        <v>35</v>
      </c>
      <c r="C1113" s="751" t="s">
        <v>2960</v>
      </c>
      <c r="D1113" s="752" t="s">
        <v>1065</v>
      </c>
      <c r="E1113" s="752" t="s">
        <v>1065</v>
      </c>
      <c r="F1113" s="751">
        <v>49837</v>
      </c>
      <c r="G1113" s="752" t="s">
        <v>59</v>
      </c>
      <c r="H1113" s="752" t="s">
        <v>1244</v>
      </c>
      <c r="I1113" s="752" t="s">
        <v>60</v>
      </c>
      <c r="J1113" s="751">
        <v>22</v>
      </c>
      <c r="K1113" s="751">
        <v>2</v>
      </c>
      <c r="L1113" s="752" t="s">
        <v>54</v>
      </c>
      <c r="M1113" s="752" t="s">
        <v>43</v>
      </c>
      <c r="N1113" s="752" t="s">
        <v>41</v>
      </c>
      <c r="O1113" s="752" t="s">
        <v>41</v>
      </c>
      <c r="P1113" s="752" t="s">
        <v>1091</v>
      </c>
      <c r="Q1113" s="753">
        <v>590965</v>
      </c>
      <c r="R1113" s="753">
        <v>590965</v>
      </c>
      <c r="S1113" s="753">
        <v>608695</v>
      </c>
      <c r="T1113" s="753">
        <v>608695</v>
      </c>
      <c r="U1113" s="753">
        <v>58143.053</v>
      </c>
      <c r="V1113" s="751">
        <v>2019</v>
      </c>
      <c r="W1113" s="222" t="s">
        <v>2666</v>
      </c>
      <c r="X1113" s="186">
        <f t="shared" si="62"/>
        <v>10.468920508869736</v>
      </c>
      <c r="Y1113" s="178" t="str">
        <f t="shared" si="60"/>
        <v/>
      </c>
      <c r="Z1113" s="178" t="str">
        <f t="shared" si="61"/>
        <v/>
      </c>
      <c r="AA1113" s="44"/>
      <c r="AB1113" s="65"/>
    </row>
    <row r="1114" spans="1:28" hidden="1">
      <c r="A1114" s="751">
        <v>56189</v>
      </c>
      <c r="B1114" s="752" t="s">
        <v>35</v>
      </c>
      <c r="C1114" s="751" t="s">
        <v>2960</v>
      </c>
      <c r="D1114" s="752" t="s">
        <v>1066</v>
      </c>
      <c r="E1114" s="752" t="s">
        <v>1066</v>
      </c>
      <c r="F1114" s="751">
        <v>49840</v>
      </c>
      <c r="G1114" s="752" t="s">
        <v>43</v>
      </c>
      <c r="H1114" s="752" t="s">
        <v>1245</v>
      </c>
      <c r="I1114" s="752" t="s">
        <v>60</v>
      </c>
      <c r="J1114" s="751">
        <v>22</v>
      </c>
      <c r="K1114" s="751">
        <v>2</v>
      </c>
      <c r="L1114" s="752" t="s">
        <v>54</v>
      </c>
      <c r="M1114" s="752" t="s">
        <v>52</v>
      </c>
      <c r="N1114" s="752" t="s">
        <v>48</v>
      </c>
      <c r="O1114" s="752" t="s">
        <v>48</v>
      </c>
      <c r="P1114" s="752" t="s">
        <v>49</v>
      </c>
      <c r="Q1114" s="753">
        <v>2537</v>
      </c>
      <c r="R1114" s="753">
        <v>2537</v>
      </c>
      <c r="S1114" s="753">
        <v>14867</v>
      </c>
      <c r="T1114" s="753">
        <v>14867</v>
      </c>
      <c r="U1114" s="753">
        <v>1243</v>
      </c>
      <c r="V1114" s="751">
        <v>2019</v>
      </c>
      <c r="W1114" s="222"/>
      <c r="X1114" s="186">
        <f t="shared" si="62"/>
        <v>11.960579243765084</v>
      </c>
      <c r="Y1114" s="178" t="str">
        <f t="shared" si="60"/>
        <v/>
      </c>
      <c r="Z1114" s="178" t="str">
        <f t="shared" si="61"/>
        <v/>
      </c>
      <c r="AA1114" s="44"/>
      <c r="AB1114" s="65"/>
    </row>
    <row r="1115" spans="1:28" hidden="1">
      <c r="A1115" s="751">
        <v>56196</v>
      </c>
      <c r="B1115" s="752" t="s">
        <v>35</v>
      </c>
      <c r="C1115" s="751" t="s">
        <v>2960</v>
      </c>
      <c r="D1115" s="752" t="s">
        <v>190</v>
      </c>
      <c r="E1115" s="752" t="s">
        <v>58</v>
      </c>
      <c r="F1115" s="751">
        <v>15296</v>
      </c>
      <c r="G1115" s="752" t="s">
        <v>59</v>
      </c>
      <c r="H1115" s="752" t="s">
        <v>1244</v>
      </c>
      <c r="I1115" s="752" t="s">
        <v>60</v>
      </c>
      <c r="J1115" s="751">
        <v>22</v>
      </c>
      <c r="K1115" s="751">
        <v>1</v>
      </c>
      <c r="L1115" s="752" t="s">
        <v>36</v>
      </c>
      <c r="M1115" s="752" t="s">
        <v>40</v>
      </c>
      <c r="N1115" s="752" t="s">
        <v>48</v>
      </c>
      <c r="O1115" s="752" t="s">
        <v>48</v>
      </c>
      <c r="P1115" s="752" t="s">
        <v>49</v>
      </c>
      <c r="Q1115" s="753">
        <v>0</v>
      </c>
      <c r="R1115" s="753">
        <v>0</v>
      </c>
      <c r="S1115" s="753">
        <v>0</v>
      </c>
      <c r="T1115" s="753">
        <v>0</v>
      </c>
      <c r="U1115" s="753">
        <v>15152.1</v>
      </c>
      <c r="V1115" s="751">
        <v>2019</v>
      </c>
      <c r="W1115" s="222" t="s">
        <v>2666</v>
      </c>
      <c r="X1115" s="186" t="str">
        <f t="shared" si="62"/>
        <v/>
      </c>
      <c r="Y1115" s="178" t="str">
        <f t="shared" si="60"/>
        <v/>
      </c>
      <c r="Z1115" s="178" t="str">
        <f t="shared" si="61"/>
        <v/>
      </c>
      <c r="AA1115" s="44"/>
      <c r="AB1115" s="65"/>
    </row>
    <row r="1116" spans="1:28" hidden="1">
      <c r="A1116" s="751">
        <v>56196</v>
      </c>
      <c r="B1116" s="752" t="s">
        <v>35</v>
      </c>
      <c r="C1116" s="751" t="s">
        <v>2960</v>
      </c>
      <c r="D1116" s="752" t="s">
        <v>190</v>
      </c>
      <c r="E1116" s="752" t="s">
        <v>58</v>
      </c>
      <c r="F1116" s="751">
        <v>15296</v>
      </c>
      <c r="G1116" s="752" t="s">
        <v>59</v>
      </c>
      <c r="H1116" s="752" t="s">
        <v>1244</v>
      </c>
      <c r="I1116" s="752" t="s">
        <v>60</v>
      </c>
      <c r="J1116" s="751">
        <v>22</v>
      </c>
      <c r="K1116" s="751">
        <v>1</v>
      </c>
      <c r="L1116" s="752" t="s">
        <v>36</v>
      </c>
      <c r="M1116" s="752" t="s">
        <v>40</v>
      </c>
      <c r="N1116" s="752" t="s">
        <v>41</v>
      </c>
      <c r="O1116" s="752" t="s">
        <v>41</v>
      </c>
      <c r="P1116" s="752" t="s">
        <v>1091</v>
      </c>
      <c r="Q1116" s="753">
        <v>0</v>
      </c>
      <c r="R1116" s="753">
        <v>0</v>
      </c>
      <c r="S1116" s="753">
        <v>0</v>
      </c>
      <c r="T1116" s="753">
        <v>0</v>
      </c>
      <c r="U1116" s="753">
        <v>925555.9</v>
      </c>
      <c r="V1116" s="751">
        <v>2019</v>
      </c>
      <c r="W1116" s="222" t="s">
        <v>2666</v>
      </c>
      <c r="X1116" s="186" t="str">
        <f t="shared" si="62"/>
        <v/>
      </c>
      <c r="Y1116" s="178" t="str">
        <f t="shared" si="60"/>
        <v/>
      </c>
      <c r="Z1116" s="178" t="str">
        <f t="shared" si="61"/>
        <v/>
      </c>
      <c r="AA1116" s="44"/>
      <c r="AB1116" s="65"/>
    </row>
    <row r="1117" spans="1:28" hidden="1">
      <c r="A1117" s="751">
        <v>56196</v>
      </c>
      <c r="B1117" s="752" t="s">
        <v>35</v>
      </c>
      <c r="C1117" s="751" t="s">
        <v>2960</v>
      </c>
      <c r="D1117" s="752" t="s">
        <v>190</v>
      </c>
      <c r="E1117" s="752" t="s">
        <v>58</v>
      </c>
      <c r="F1117" s="751">
        <v>15296</v>
      </c>
      <c r="G1117" s="752" t="s">
        <v>59</v>
      </c>
      <c r="H1117" s="752" t="s">
        <v>1244</v>
      </c>
      <c r="I1117" s="752" t="s">
        <v>60</v>
      </c>
      <c r="J1117" s="751">
        <v>22</v>
      </c>
      <c r="K1117" s="751">
        <v>1</v>
      </c>
      <c r="L1117" s="752" t="s">
        <v>36</v>
      </c>
      <c r="M1117" s="752" t="s">
        <v>43</v>
      </c>
      <c r="N1117" s="752" t="s">
        <v>48</v>
      </c>
      <c r="O1117" s="752" t="s">
        <v>48</v>
      </c>
      <c r="P1117" s="752" t="s">
        <v>49</v>
      </c>
      <c r="Q1117" s="753">
        <v>51309</v>
      </c>
      <c r="R1117" s="753">
        <v>51309</v>
      </c>
      <c r="S1117" s="753">
        <v>296086</v>
      </c>
      <c r="T1117" s="753">
        <v>296086</v>
      </c>
      <c r="U1117" s="753">
        <v>23441.96</v>
      </c>
      <c r="V1117" s="751">
        <v>2019</v>
      </c>
      <c r="W1117" s="222" t="s">
        <v>2666</v>
      </c>
      <c r="X1117" s="186">
        <f t="shared" si="62"/>
        <v>12.630599147852825</v>
      </c>
      <c r="Y1117" s="178" t="str">
        <f t="shared" si="60"/>
        <v/>
      </c>
      <c r="Z1117" s="178" t="str">
        <f t="shared" si="61"/>
        <v/>
      </c>
      <c r="AA1117" s="44"/>
      <c r="AB1117" s="65"/>
    </row>
    <row r="1118" spans="1:28" hidden="1">
      <c r="A1118" s="751">
        <v>56196</v>
      </c>
      <c r="B1118" s="752" t="s">
        <v>35</v>
      </c>
      <c r="C1118" s="751" t="s">
        <v>2960</v>
      </c>
      <c r="D1118" s="752" t="s">
        <v>190</v>
      </c>
      <c r="E1118" s="752" t="s">
        <v>58</v>
      </c>
      <c r="F1118" s="751">
        <v>15296</v>
      </c>
      <c r="G1118" s="752" t="s">
        <v>59</v>
      </c>
      <c r="H1118" s="752" t="s">
        <v>1244</v>
      </c>
      <c r="I1118" s="752" t="s">
        <v>60</v>
      </c>
      <c r="J1118" s="751">
        <v>22</v>
      </c>
      <c r="K1118" s="751">
        <v>1</v>
      </c>
      <c r="L1118" s="752" t="s">
        <v>36</v>
      </c>
      <c r="M1118" s="752" t="s">
        <v>43</v>
      </c>
      <c r="N1118" s="752" t="s">
        <v>41</v>
      </c>
      <c r="O1118" s="752" t="s">
        <v>41</v>
      </c>
      <c r="P1118" s="752" t="s">
        <v>1091</v>
      </c>
      <c r="Q1118" s="753">
        <v>17872506</v>
      </c>
      <c r="R1118" s="753">
        <v>17872506</v>
      </c>
      <c r="S1118" s="753">
        <v>18382973</v>
      </c>
      <c r="T1118" s="753">
        <v>18382973</v>
      </c>
      <c r="U1118" s="753">
        <v>1482315</v>
      </c>
      <c r="V1118" s="751">
        <v>2019</v>
      </c>
      <c r="W1118" s="222" t="s">
        <v>2666</v>
      </c>
      <c r="X1118" s="186">
        <f t="shared" si="62"/>
        <v>12.401529364541275</v>
      </c>
      <c r="Y1118" s="178" t="str">
        <f t="shared" si="60"/>
        <v/>
      </c>
      <c r="Z1118" s="178" t="str">
        <f t="shared" si="61"/>
        <v/>
      </c>
      <c r="AA1118" s="44"/>
      <c r="AB1118" s="65"/>
    </row>
    <row r="1119" spans="1:28" ht="25" hidden="1">
      <c r="A1119" s="751">
        <v>56234</v>
      </c>
      <c r="B1119" s="752" t="s">
        <v>35</v>
      </c>
      <c r="C1119" s="751" t="s">
        <v>2960</v>
      </c>
      <c r="D1119" s="752" t="s">
        <v>457</v>
      </c>
      <c r="E1119" s="752" t="s">
        <v>458</v>
      </c>
      <c r="F1119" s="751">
        <v>49950</v>
      </c>
      <c r="G1119" s="752" t="s">
        <v>59</v>
      </c>
      <c r="H1119" s="752" t="s">
        <v>1244</v>
      </c>
      <c r="I1119" s="752" t="s">
        <v>60</v>
      </c>
      <c r="J1119" s="751">
        <v>22</v>
      </c>
      <c r="K1119" s="751">
        <v>2</v>
      </c>
      <c r="L1119" s="752" t="s">
        <v>54</v>
      </c>
      <c r="M1119" s="752" t="s">
        <v>40</v>
      </c>
      <c r="N1119" s="752" t="s">
        <v>48</v>
      </c>
      <c r="O1119" s="752" t="s">
        <v>48</v>
      </c>
      <c r="P1119" s="752" t="s">
        <v>49</v>
      </c>
      <c r="Q1119" s="753">
        <v>0</v>
      </c>
      <c r="R1119" s="753">
        <v>0</v>
      </c>
      <c r="S1119" s="753">
        <v>0</v>
      </c>
      <c r="T1119" s="753">
        <v>0</v>
      </c>
      <c r="U1119" s="753">
        <v>97.608000000000004</v>
      </c>
      <c r="V1119" s="751">
        <v>2019</v>
      </c>
      <c r="W1119" s="222" t="s">
        <v>2666</v>
      </c>
      <c r="X1119" s="186" t="str">
        <f t="shared" si="62"/>
        <v/>
      </c>
      <c r="Y1119" s="178" t="str">
        <f t="shared" si="60"/>
        <v/>
      </c>
      <c r="Z1119" s="178" t="str">
        <f t="shared" si="61"/>
        <v/>
      </c>
      <c r="AA1119" s="44"/>
      <c r="AB1119" s="65"/>
    </row>
    <row r="1120" spans="1:28" ht="25" hidden="1">
      <c r="A1120" s="751">
        <v>56234</v>
      </c>
      <c r="B1120" s="752" t="s">
        <v>35</v>
      </c>
      <c r="C1120" s="751" t="s">
        <v>2960</v>
      </c>
      <c r="D1120" s="752" t="s">
        <v>457</v>
      </c>
      <c r="E1120" s="752" t="s">
        <v>458</v>
      </c>
      <c r="F1120" s="751">
        <v>49950</v>
      </c>
      <c r="G1120" s="752" t="s">
        <v>59</v>
      </c>
      <c r="H1120" s="752" t="s">
        <v>1244</v>
      </c>
      <c r="I1120" s="752" t="s">
        <v>60</v>
      </c>
      <c r="J1120" s="751">
        <v>22</v>
      </c>
      <c r="K1120" s="751">
        <v>2</v>
      </c>
      <c r="L1120" s="752" t="s">
        <v>54</v>
      </c>
      <c r="M1120" s="752" t="s">
        <v>40</v>
      </c>
      <c r="N1120" s="752" t="s">
        <v>41</v>
      </c>
      <c r="O1120" s="752" t="s">
        <v>41</v>
      </c>
      <c r="P1120" s="752" t="s">
        <v>1091</v>
      </c>
      <c r="Q1120" s="753">
        <v>1284983</v>
      </c>
      <c r="R1120" s="753">
        <v>1284983</v>
      </c>
      <c r="S1120" s="753">
        <v>1321546</v>
      </c>
      <c r="T1120" s="753">
        <v>1321546</v>
      </c>
      <c r="U1120" s="753">
        <v>872284.39</v>
      </c>
      <c r="V1120" s="751">
        <v>2019</v>
      </c>
      <c r="W1120" s="222" t="s">
        <v>2666</v>
      </c>
      <c r="X1120" s="186">
        <f t="shared" si="62"/>
        <v>1.5150402955164657</v>
      </c>
      <c r="Y1120" s="178" t="str">
        <f t="shared" si="60"/>
        <v/>
      </c>
      <c r="Z1120" s="178" t="str">
        <f t="shared" si="61"/>
        <v/>
      </c>
      <c r="AA1120" s="44"/>
      <c r="AB1120" s="65"/>
    </row>
    <row r="1121" spans="1:28" ht="25" hidden="1">
      <c r="A1121" s="751">
        <v>56234</v>
      </c>
      <c r="B1121" s="752" t="s">
        <v>35</v>
      </c>
      <c r="C1121" s="751" t="s">
        <v>2960</v>
      </c>
      <c r="D1121" s="752" t="s">
        <v>457</v>
      </c>
      <c r="E1121" s="752" t="s">
        <v>458</v>
      </c>
      <c r="F1121" s="751">
        <v>49950</v>
      </c>
      <c r="G1121" s="752" t="s">
        <v>59</v>
      </c>
      <c r="H1121" s="752" t="s">
        <v>1244</v>
      </c>
      <c r="I1121" s="752" t="s">
        <v>60</v>
      </c>
      <c r="J1121" s="751">
        <v>22</v>
      </c>
      <c r="K1121" s="751">
        <v>2</v>
      </c>
      <c r="L1121" s="752" t="s">
        <v>54</v>
      </c>
      <c r="M1121" s="752" t="s">
        <v>43</v>
      </c>
      <c r="N1121" s="752" t="s">
        <v>48</v>
      </c>
      <c r="O1121" s="752" t="s">
        <v>48</v>
      </c>
      <c r="P1121" s="752" t="s">
        <v>49</v>
      </c>
      <c r="Q1121" s="753">
        <v>320</v>
      </c>
      <c r="R1121" s="753">
        <v>320</v>
      </c>
      <c r="S1121" s="753">
        <v>1882</v>
      </c>
      <c r="T1121" s="753">
        <v>1882</v>
      </c>
      <c r="U1121" s="753">
        <v>166.21299999999999</v>
      </c>
      <c r="V1121" s="751">
        <v>2019</v>
      </c>
      <c r="W1121" s="222" t="s">
        <v>2666</v>
      </c>
      <c r="X1121" s="186">
        <f t="shared" si="62"/>
        <v>11.322820717994381</v>
      </c>
      <c r="Y1121" s="178" t="str">
        <f t="shared" si="60"/>
        <v/>
      </c>
      <c r="Z1121" s="178" t="str">
        <f t="shared" si="61"/>
        <v/>
      </c>
      <c r="AA1121" s="44"/>
      <c r="AB1121" s="65"/>
    </row>
    <row r="1122" spans="1:28" ht="25" hidden="1">
      <c r="A1122" s="751">
        <v>56234</v>
      </c>
      <c r="B1122" s="752" t="s">
        <v>35</v>
      </c>
      <c r="C1122" s="751" t="s">
        <v>2960</v>
      </c>
      <c r="D1122" s="752" t="s">
        <v>457</v>
      </c>
      <c r="E1122" s="752" t="s">
        <v>458</v>
      </c>
      <c r="F1122" s="751">
        <v>49950</v>
      </c>
      <c r="G1122" s="752" t="s">
        <v>59</v>
      </c>
      <c r="H1122" s="752" t="s">
        <v>1244</v>
      </c>
      <c r="I1122" s="752" t="s">
        <v>60</v>
      </c>
      <c r="J1122" s="751">
        <v>22</v>
      </c>
      <c r="K1122" s="751">
        <v>2</v>
      </c>
      <c r="L1122" s="752" t="s">
        <v>54</v>
      </c>
      <c r="M1122" s="752" t="s">
        <v>43</v>
      </c>
      <c r="N1122" s="752" t="s">
        <v>41</v>
      </c>
      <c r="O1122" s="752" t="s">
        <v>41</v>
      </c>
      <c r="P1122" s="752" t="s">
        <v>1091</v>
      </c>
      <c r="Q1122" s="753">
        <v>14555224</v>
      </c>
      <c r="R1122" s="753">
        <v>14555224</v>
      </c>
      <c r="S1122" s="753">
        <v>14978189</v>
      </c>
      <c r="T1122" s="753">
        <v>14978189</v>
      </c>
      <c r="U1122" s="753">
        <v>1313556.8</v>
      </c>
      <c r="V1122" s="751">
        <v>2019</v>
      </c>
      <c r="W1122" s="222" t="s">
        <v>2666</v>
      </c>
      <c r="X1122" s="186">
        <f t="shared" si="62"/>
        <v>11.402772228806549</v>
      </c>
      <c r="Y1122" s="178" t="str">
        <f t="shared" si="60"/>
        <v/>
      </c>
      <c r="Z1122" s="178" t="str">
        <f t="shared" si="61"/>
        <v/>
      </c>
      <c r="AA1122" s="44"/>
      <c r="AB1122" s="65"/>
    </row>
    <row r="1123" spans="1:28" hidden="1">
      <c r="A1123" s="751">
        <v>56250</v>
      </c>
      <c r="B1123" s="752" t="s">
        <v>35</v>
      </c>
      <c r="C1123" s="751" t="s">
        <v>2960</v>
      </c>
      <c r="D1123" s="752" t="s">
        <v>1067</v>
      </c>
      <c r="E1123" s="752" t="s">
        <v>1036</v>
      </c>
      <c r="F1123" s="751">
        <v>17283</v>
      </c>
      <c r="G1123" s="752" t="s">
        <v>59</v>
      </c>
      <c r="H1123" s="752" t="s">
        <v>1244</v>
      </c>
      <c r="I1123" s="752" t="s">
        <v>60</v>
      </c>
      <c r="J1123" s="751">
        <v>22</v>
      </c>
      <c r="K1123" s="751">
        <v>2</v>
      </c>
      <c r="L1123" s="752" t="s">
        <v>54</v>
      </c>
      <c r="M1123" s="752" t="s">
        <v>53</v>
      </c>
      <c r="N1123" s="752" t="s">
        <v>65</v>
      </c>
      <c r="O1123" s="752" t="s">
        <v>66</v>
      </c>
      <c r="P1123" s="752" t="s">
        <v>1091</v>
      </c>
      <c r="Q1123" s="753">
        <v>2072244</v>
      </c>
      <c r="R1123" s="753">
        <v>2072244</v>
      </c>
      <c r="S1123" s="753">
        <v>984318</v>
      </c>
      <c r="T1123" s="753">
        <v>984318</v>
      </c>
      <c r="U1123" s="753">
        <v>79070</v>
      </c>
      <c r="V1123" s="751">
        <v>2019</v>
      </c>
      <c r="W1123" s="222"/>
      <c r="X1123" s="186">
        <f t="shared" si="62"/>
        <v>12.448691033261667</v>
      </c>
      <c r="Y1123" s="178" t="str">
        <f t="shared" si="60"/>
        <v/>
      </c>
      <c r="Z1123" s="178" t="str">
        <f t="shared" si="61"/>
        <v/>
      </c>
      <c r="AA1123" s="44"/>
      <c r="AB1123" s="65"/>
    </row>
    <row r="1124" spans="1:28" hidden="1">
      <c r="A1124" s="751">
        <v>56259</v>
      </c>
      <c r="B1124" s="752" t="s">
        <v>56</v>
      </c>
      <c r="C1124" s="751" t="s">
        <v>2960</v>
      </c>
      <c r="D1124" s="752" t="s">
        <v>2029</v>
      </c>
      <c r="E1124" s="752" t="s">
        <v>2029</v>
      </c>
      <c r="F1124" s="751">
        <v>56480</v>
      </c>
      <c r="G1124" s="752" t="s">
        <v>59</v>
      </c>
      <c r="H1124" s="752" t="s">
        <v>1244</v>
      </c>
      <c r="I1124" s="752" t="s">
        <v>60</v>
      </c>
      <c r="J1124" s="751">
        <v>22</v>
      </c>
      <c r="K1124" s="751">
        <v>3</v>
      </c>
      <c r="L1124" s="752" t="s">
        <v>57</v>
      </c>
      <c r="M1124" s="752" t="s">
        <v>40</v>
      </c>
      <c r="N1124" s="752" t="s">
        <v>48</v>
      </c>
      <c r="O1124" s="752" t="s">
        <v>48</v>
      </c>
      <c r="P1124" s="752" t="s">
        <v>49</v>
      </c>
      <c r="Q1124" s="753">
        <v>0</v>
      </c>
      <c r="R1124" s="753">
        <v>0</v>
      </c>
      <c r="S1124" s="753">
        <v>0</v>
      </c>
      <c r="T1124" s="753">
        <v>0</v>
      </c>
      <c r="U1124" s="753">
        <v>1318.999</v>
      </c>
      <c r="V1124" s="751">
        <v>2019</v>
      </c>
      <c r="W1124" s="222"/>
      <c r="X1124" s="186" t="str">
        <f t="shared" si="62"/>
        <v/>
      </c>
      <c r="Y1124" s="178" t="str">
        <f t="shared" si="60"/>
        <v/>
      </c>
      <c r="Z1124" s="178" t="str">
        <f t="shared" si="61"/>
        <v/>
      </c>
      <c r="AA1124" s="44"/>
      <c r="AB1124" s="65"/>
    </row>
    <row r="1125" spans="1:28" hidden="1">
      <c r="A1125" s="751">
        <v>56259</v>
      </c>
      <c r="B1125" s="752" t="s">
        <v>56</v>
      </c>
      <c r="C1125" s="751" t="s">
        <v>2960</v>
      </c>
      <c r="D1125" s="752" t="s">
        <v>2029</v>
      </c>
      <c r="E1125" s="752" t="s">
        <v>2029</v>
      </c>
      <c r="F1125" s="751">
        <v>56480</v>
      </c>
      <c r="G1125" s="752" t="s">
        <v>59</v>
      </c>
      <c r="H1125" s="752" t="s">
        <v>1244</v>
      </c>
      <c r="I1125" s="752" t="s">
        <v>60</v>
      </c>
      <c r="J1125" s="751">
        <v>22</v>
      </c>
      <c r="K1125" s="751">
        <v>3</v>
      </c>
      <c r="L1125" s="752" t="s">
        <v>57</v>
      </c>
      <c r="M1125" s="752" t="s">
        <v>40</v>
      </c>
      <c r="N1125" s="752" t="s">
        <v>41</v>
      </c>
      <c r="O1125" s="752" t="s">
        <v>41</v>
      </c>
      <c r="P1125" s="752" t="s">
        <v>1091</v>
      </c>
      <c r="Q1125" s="753">
        <v>1070773</v>
      </c>
      <c r="R1125" s="753">
        <v>1070773</v>
      </c>
      <c r="S1125" s="753">
        <v>1102896</v>
      </c>
      <c r="T1125" s="753">
        <v>1102896</v>
      </c>
      <c r="U1125" s="753">
        <v>951950</v>
      </c>
      <c r="V1125" s="751">
        <v>2019</v>
      </c>
      <c r="W1125" s="222"/>
      <c r="X1125" s="186">
        <f t="shared" si="62"/>
        <v>1.1585650506854352</v>
      </c>
      <c r="Y1125" s="178" t="str">
        <f t="shared" si="60"/>
        <v/>
      </c>
      <c r="Z1125" s="178" t="str">
        <f t="shared" si="61"/>
        <v/>
      </c>
      <c r="AA1125" s="44"/>
      <c r="AB1125" s="65"/>
    </row>
    <row r="1126" spans="1:28" hidden="1">
      <c r="A1126" s="751">
        <v>56259</v>
      </c>
      <c r="B1126" s="752" t="s">
        <v>56</v>
      </c>
      <c r="C1126" s="751" t="s">
        <v>2960</v>
      </c>
      <c r="D1126" s="752" t="s">
        <v>2029</v>
      </c>
      <c r="E1126" s="752" t="s">
        <v>2029</v>
      </c>
      <c r="F1126" s="751">
        <v>56480</v>
      </c>
      <c r="G1126" s="752" t="s">
        <v>59</v>
      </c>
      <c r="H1126" s="752" t="s">
        <v>1244</v>
      </c>
      <c r="I1126" s="752" t="s">
        <v>60</v>
      </c>
      <c r="J1126" s="751">
        <v>22</v>
      </c>
      <c r="K1126" s="751">
        <v>3</v>
      </c>
      <c r="L1126" s="752" t="s">
        <v>57</v>
      </c>
      <c r="M1126" s="752" t="s">
        <v>43</v>
      </c>
      <c r="N1126" s="752" t="s">
        <v>48</v>
      </c>
      <c r="O1126" s="752" t="s">
        <v>48</v>
      </c>
      <c r="P1126" s="752" t="s">
        <v>49</v>
      </c>
      <c r="Q1126" s="753">
        <v>4505</v>
      </c>
      <c r="R1126" s="753">
        <v>4505</v>
      </c>
      <c r="S1126" s="753">
        <v>26017</v>
      </c>
      <c r="T1126" s="753">
        <v>26017</v>
      </c>
      <c r="U1126" s="753">
        <v>2282.2849999999999</v>
      </c>
      <c r="V1126" s="751">
        <v>2019</v>
      </c>
      <c r="W1126" s="222"/>
      <c r="X1126" s="186">
        <f t="shared" si="62"/>
        <v>11.399540372915741</v>
      </c>
      <c r="Y1126" s="178" t="str">
        <f t="shared" si="60"/>
        <v/>
      </c>
      <c r="Z1126" s="178" t="str">
        <f t="shared" si="61"/>
        <v/>
      </c>
      <c r="AA1126" s="44"/>
      <c r="AB1126" s="65"/>
    </row>
    <row r="1127" spans="1:28" hidden="1">
      <c r="A1127" s="751">
        <v>56259</v>
      </c>
      <c r="B1127" s="752" t="s">
        <v>56</v>
      </c>
      <c r="C1127" s="751" t="s">
        <v>2960</v>
      </c>
      <c r="D1127" s="752" t="s">
        <v>2029</v>
      </c>
      <c r="E1127" s="752" t="s">
        <v>2029</v>
      </c>
      <c r="F1127" s="751">
        <v>56480</v>
      </c>
      <c r="G1127" s="752" t="s">
        <v>59</v>
      </c>
      <c r="H1127" s="752" t="s">
        <v>1244</v>
      </c>
      <c r="I1127" s="752" t="s">
        <v>60</v>
      </c>
      <c r="J1127" s="751">
        <v>22</v>
      </c>
      <c r="K1127" s="751">
        <v>3</v>
      </c>
      <c r="L1127" s="752" t="s">
        <v>57</v>
      </c>
      <c r="M1127" s="752" t="s">
        <v>43</v>
      </c>
      <c r="N1127" s="752" t="s">
        <v>41</v>
      </c>
      <c r="O1127" s="752" t="s">
        <v>41</v>
      </c>
      <c r="P1127" s="752" t="s">
        <v>1091</v>
      </c>
      <c r="Q1127" s="753">
        <v>16454717</v>
      </c>
      <c r="R1127" s="753">
        <v>16454717</v>
      </c>
      <c r="S1127" s="753">
        <v>16948359</v>
      </c>
      <c r="T1127" s="753">
        <v>16948359</v>
      </c>
      <c r="U1127" s="753">
        <v>1508362.7</v>
      </c>
      <c r="V1127" s="751">
        <v>2019</v>
      </c>
      <c r="W1127" s="222"/>
      <c r="X1127" s="186">
        <f t="shared" si="62"/>
        <v>11.236262339290146</v>
      </c>
      <c r="Y1127" s="178" t="str">
        <f t="shared" si="60"/>
        <v/>
      </c>
      <c r="Z1127" s="178" t="str">
        <f t="shared" si="61"/>
        <v/>
      </c>
      <c r="AA1127" s="44"/>
      <c r="AB1127" s="65"/>
    </row>
    <row r="1128" spans="1:28" hidden="1">
      <c r="A1128" s="751">
        <v>56290</v>
      </c>
      <c r="B1128" s="752" t="s">
        <v>35</v>
      </c>
      <c r="C1128" s="751" t="s">
        <v>2960</v>
      </c>
      <c r="D1128" s="752" t="s">
        <v>141</v>
      </c>
      <c r="E1128" s="752" t="s">
        <v>142</v>
      </c>
      <c r="F1128" s="751">
        <v>54684</v>
      </c>
      <c r="G1128" s="752" t="s">
        <v>59</v>
      </c>
      <c r="H1128" s="752" t="s">
        <v>1244</v>
      </c>
      <c r="I1128" s="752" t="s">
        <v>60</v>
      </c>
      <c r="J1128" s="751">
        <v>22</v>
      </c>
      <c r="K1128" s="751">
        <v>2</v>
      </c>
      <c r="L1128" s="752" t="s">
        <v>54</v>
      </c>
      <c r="M1128" s="752" t="s">
        <v>73</v>
      </c>
      <c r="N1128" s="752" t="s">
        <v>74</v>
      </c>
      <c r="O1128" s="752" t="s">
        <v>74</v>
      </c>
      <c r="P1128" s="752" t="s">
        <v>1238</v>
      </c>
      <c r="Q1128" s="753">
        <v>0</v>
      </c>
      <c r="R1128" s="753">
        <v>0</v>
      </c>
      <c r="S1128" s="753">
        <v>6561847</v>
      </c>
      <c r="T1128" s="753">
        <v>6561847</v>
      </c>
      <c r="U1128" s="753">
        <v>736955</v>
      </c>
      <c r="V1128" s="751">
        <v>2019</v>
      </c>
      <c r="W1128" s="222"/>
      <c r="X1128" s="186">
        <f t="shared" si="62"/>
        <v>8.9039995657808149</v>
      </c>
      <c r="Y1128" s="178" t="str">
        <f t="shared" si="60"/>
        <v/>
      </c>
      <c r="Z1128" s="178" t="str">
        <f t="shared" si="61"/>
        <v/>
      </c>
      <c r="AA1128" s="44"/>
      <c r="AB1128" s="65"/>
    </row>
    <row r="1129" spans="1:28" hidden="1">
      <c r="A1129" s="751">
        <v>56323</v>
      </c>
      <c r="B1129" s="752" t="s">
        <v>35</v>
      </c>
      <c r="C1129" s="751" t="s">
        <v>2960</v>
      </c>
      <c r="D1129" s="752" t="s">
        <v>1068</v>
      </c>
      <c r="E1129" s="752" t="s">
        <v>1069</v>
      </c>
      <c r="F1129" s="751">
        <v>50158</v>
      </c>
      <c r="G1129" s="752" t="s">
        <v>59</v>
      </c>
      <c r="H1129" s="752" t="s">
        <v>1244</v>
      </c>
      <c r="I1129" s="752" t="s">
        <v>60</v>
      </c>
      <c r="J1129" s="751">
        <v>22</v>
      </c>
      <c r="K1129" s="751">
        <v>2</v>
      </c>
      <c r="L1129" s="752" t="s">
        <v>54</v>
      </c>
      <c r="M1129" s="752" t="s">
        <v>53</v>
      </c>
      <c r="N1129" s="752" t="s">
        <v>65</v>
      </c>
      <c r="O1129" s="752" t="s">
        <v>66</v>
      </c>
      <c r="P1129" s="752" t="s">
        <v>1091</v>
      </c>
      <c r="Q1129" s="753">
        <v>647912</v>
      </c>
      <c r="R1129" s="753">
        <v>647912</v>
      </c>
      <c r="S1129" s="753">
        <v>364772</v>
      </c>
      <c r="T1129" s="753">
        <v>364772</v>
      </c>
      <c r="U1129" s="753">
        <v>30887</v>
      </c>
      <c r="V1129" s="751">
        <v>2019</v>
      </c>
      <c r="W1129" s="222"/>
      <c r="X1129" s="186"/>
      <c r="Y1129" s="178" t="str">
        <f t="shared" si="60"/>
        <v/>
      </c>
      <c r="Z1129" s="178" t="str">
        <f t="shared" si="61"/>
        <v/>
      </c>
      <c r="AA1129" s="44"/>
      <c r="AB1129" s="65"/>
    </row>
    <row r="1130" spans="1:28" hidden="1">
      <c r="A1130" s="751">
        <v>56324</v>
      </c>
      <c r="B1130" s="752" t="s">
        <v>35</v>
      </c>
      <c r="C1130" s="751" t="s">
        <v>2960</v>
      </c>
      <c r="D1130" s="752" t="s">
        <v>1070</v>
      </c>
      <c r="E1130" s="752" t="s">
        <v>1069</v>
      </c>
      <c r="F1130" s="751">
        <v>50158</v>
      </c>
      <c r="G1130" s="752" t="s">
        <v>59</v>
      </c>
      <c r="H1130" s="752" t="s">
        <v>1244</v>
      </c>
      <c r="I1130" s="752" t="s">
        <v>60</v>
      </c>
      <c r="J1130" s="751">
        <v>22</v>
      </c>
      <c r="K1130" s="751">
        <v>2</v>
      </c>
      <c r="L1130" s="752" t="s">
        <v>54</v>
      </c>
      <c r="M1130" s="752" t="s">
        <v>53</v>
      </c>
      <c r="N1130" s="752" t="s">
        <v>65</v>
      </c>
      <c r="O1130" s="752" t="s">
        <v>66</v>
      </c>
      <c r="P1130" s="752" t="s">
        <v>1091</v>
      </c>
      <c r="Q1130" s="753">
        <v>670162</v>
      </c>
      <c r="R1130" s="753">
        <v>670162</v>
      </c>
      <c r="S1130" s="753">
        <v>353176</v>
      </c>
      <c r="T1130" s="753">
        <v>353176</v>
      </c>
      <c r="U1130" s="753">
        <v>25901</v>
      </c>
      <c r="V1130" s="751">
        <v>2019</v>
      </c>
      <c r="W1130" s="222"/>
      <c r="X1130" s="186"/>
      <c r="Y1130" s="178" t="str">
        <f t="shared" si="60"/>
        <v/>
      </c>
      <c r="Z1130" s="178" t="str">
        <f t="shared" si="61"/>
        <v/>
      </c>
      <c r="AA1130" s="44"/>
      <c r="AB1130" s="65"/>
    </row>
    <row r="1131" spans="1:28" hidden="1">
      <c r="A1131" s="751">
        <v>56399</v>
      </c>
      <c r="B1131" s="752" t="s">
        <v>35</v>
      </c>
      <c r="C1131" s="751" t="s">
        <v>2960</v>
      </c>
      <c r="D1131" s="752" t="s">
        <v>1071</v>
      </c>
      <c r="E1131" s="752" t="s">
        <v>2030</v>
      </c>
      <c r="F1131" s="751">
        <v>15399</v>
      </c>
      <c r="G1131" s="752" t="s">
        <v>98</v>
      </c>
      <c r="H1131" s="752" t="s">
        <v>1245</v>
      </c>
      <c r="I1131" s="752" t="s">
        <v>60</v>
      </c>
      <c r="J1131" s="751">
        <v>22</v>
      </c>
      <c r="K1131" s="751">
        <v>2</v>
      </c>
      <c r="L1131" s="752" t="s">
        <v>54</v>
      </c>
      <c r="M1131" s="752" t="s">
        <v>73</v>
      </c>
      <c r="N1131" s="752" t="s">
        <v>74</v>
      </c>
      <c r="O1131" s="752" t="s">
        <v>74</v>
      </c>
      <c r="P1131" s="752" t="s">
        <v>1238</v>
      </c>
      <c r="Q1131" s="753">
        <v>0</v>
      </c>
      <c r="R1131" s="753">
        <v>0</v>
      </c>
      <c r="S1131" s="753">
        <v>592285</v>
      </c>
      <c r="T1131" s="753">
        <v>592285</v>
      </c>
      <c r="U1131" s="753">
        <v>66519</v>
      </c>
      <c r="V1131" s="751">
        <v>2019</v>
      </c>
      <c r="W1131" s="222"/>
      <c r="X1131" s="186">
        <f>IF(OR(K1131&gt;3,T1131=0,NOT(U1131&gt;0)),"",T1131/U1131)</f>
        <v>8.9039973541394186</v>
      </c>
      <c r="Y1131" s="178" t="str">
        <f t="shared" si="60"/>
        <v/>
      </c>
      <c r="Z1131" s="178" t="str">
        <f t="shared" si="61"/>
        <v/>
      </c>
      <c r="AA1131" s="44"/>
      <c r="AB1131" s="65"/>
    </row>
    <row r="1132" spans="1:28" ht="25" hidden="1">
      <c r="A1132" s="751">
        <v>56426</v>
      </c>
      <c r="B1132" s="752" t="s">
        <v>35</v>
      </c>
      <c r="C1132" s="751" t="s">
        <v>2960</v>
      </c>
      <c r="D1132" s="752" t="s">
        <v>1774</v>
      </c>
      <c r="E1132" s="752" t="s">
        <v>1072</v>
      </c>
      <c r="F1132" s="751">
        <v>54812</v>
      </c>
      <c r="G1132" s="752" t="s">
        <v>83</v>
      </c>
      <c r="H1132" s="752" t="s">
        <v>1245</v>
      </c>
      <c r="I1132" s="752" t="s">
        <v>60</v>
      </c>
      <c r="J1132" s="751">
        <v>22</v>
      </c>
      <c r="K1132" s="751">
        <v>2</v>
      </c>
      <c r="L1132" s="752" t="s">
        <v>54</v>
      </c>
      <c r="M1132" s="752" t="s">
        <v>53</v>
      </c>
      <c r="N1132" s="752" t="s">
        <v>65</v>
      </c>
      <c r="O1132" s="752" t="s">
        <v>66</v>
      </c>
      <c r="P1132" s="752" t="s">
        <v>1091</v>
      </c>
      <c r="Q1132" s="753">
        <v>872600</v>
      </c>
      <c r="R1132" s="753">
        <v>872600</v>
      </c>
      <c r="S1132" s="753">
        <v>443281</v>
      </c>
      <c r="T1132" s="753">
        <v>443281</v>
      </c>
      <c r="U1132" s="753">
        <v>41235</v>
      </c>
      <c r="V1132" s="751">
        <v>2019</v>
      </c>
      <c r="W1132" s="222"/>
      <c r="X1132" s="186"/>
      <c r="Y1132" s="178" t="str">
        <f t="shared" si="60"/>
        <v/>
      </c>
      <c r="Z1132" s="178" t="str">
        <f t="shared" si="61"/>
        <v/>
      </c>
      <c r="AA1132" s="44"/>
      <c r="AB1132" s="65"/>
    </row>
    <row r="1133" spans="1:28" hidden="1">
      <c r="A1133" s="751">
        <v>56448</v>
      </c>
      <c r="B1133" s="752" t="s">
        <v>35</v>
      </c>
      <c r="C1133" s="751" t="s">
        <v>2960</v>
      </c>
      <c r="D1133" s="752" t="s">
        <v>143</v>
      </c>
      <c r="E1133" s="752" t="s">
        <v>1671</v>
      </c>
      <c r="F1133" s="751">
        <v>59155</v>
      </c>
      <c r="G1133" s="752" t="s">
        <v>92</v>
      </c>
      <c r="H1133" s="752" t="s">
        <v>1245</v>
      </c>
      <c r="I1133" s="752" t="s">
        <v>60</v>
      </c>
      <c r="J1133" s="751">
        <v>22</v>
      </c>
      <c r="K1133" s="751">
        <v>2</v>
      </c>
      <c r="L1133" s="752" t="s">
        <v>54</v>
      </c>
      <c r="M1133" s="752" t="s">
        <v>73</v>
      </c>
      <c r="N1133" s="752" t="s">
        <v>74</v>
      </c>
      <c r="O1133" s="752" t="s">
        <v>74</v>
      </c>
      <c r="P1133" s="752" t="s">
        <v>1238</v>
      </c>
      <c r="Q1133" s="753">
        <v>0</v>
      </c>
      <c r="R1133" s="753">
        <v>0</v>
      </c>
      <c r="S1133" s="753">
        <v>1240489</v>
      </c>
      <c r="T1133" s="753">
        <v>1240489</v>
      </c>
      <c r="U1133" s="753">
        <v>139318</v>
      </c>
      <c r="V1133" s="751">
        <v>2019</v>
      </c>
      <c r="W1133" s="222"/>
      <c r="X1133" s="186"/>
      <c r="Y1133" s="178" t="str">
        <f t="shared" si="60"/>
        <v/>
      </c>
      <c r="Z1133" s="178" t="str">
        <f t="shared" si="61"/>
        <v/>
      </c>
      <c r="AA1133" s="44"/>
      <c r="AB1133" s="65"/>
    </row>
    <row r="1134" spans="1:28" hidden="1">
      <c r="A1134" s="751">
        <v>56526</v>
      </c>
      <c r="B1134" s="752" t="s">
        <v>35</v>
      </c>
      <c r="C1134" s="751" t="s">
        <v>2960</v>
      </c>
      <c r="D1134" s="752" t="s">
        <v>1073</v>
      </c>
      <c r="E1134" s="752" t="s">
        <v>945</v>
      </c>
      <c r="F1134" s="751">
        <v>54842</v>
      </c>
      <c r="G1134" s="752" t="s">
        <v>59</v>
      </c>
      <c r="H1134" s="752" t="s">
        <v>1244</v>
      </c>
      <c r="I1134" s="752" t="s">
        <v>60</v>
      </c>
      <c r="J1134" s="751">
        <v>22</v>
      </c>
      <c r="K1134" s="751">
        <v>2</v>
      </c>
      <c r="L1134" s="752" t="s">
        <v>54</v>
      </c>
      <c r="M1134" s="752" t="s">
        <v>53</v>
      </c>
      <c r="N1134" s="752" t="s">
        <v>65</v>
      </c>
      <c r="O1134" s="752" t="s">
        <v>66</v>
      </c>
      <c r="P1134" s="752" t="s">
        <v>1091</v>
      </c>
      <c r="Q1134" s="753">
        <v>1047776</v>
      </c>
      <c r="R1134" s="753">
        <v>1047776</v>
      </c>
      <c r="S1134" s="753">
        <v>491407</v>
      </c>
      <c r="T1134" s="753">
        <v>491407</v>
      </c>
      <c r="U1134" s="753">
        <v>41689</v>
      </c>
      <c r="V1134" s="751">
        <v>2019</v>
      </c>
      <c r="W1134" s="222"/>
      <c r="X1134" s="186"/>
      <c r="Y1134" s="178" t="str">
        <f t="shared" si="60"/>
        <v/>
      </c>
      <c r="Z1134" s="178" t="str">
        <f t="shared" si="61"/>
        <v/>
      </c>
      <c r="AA1134" s="44"/>
      <c r="AB1134" s="65"/>
    </row>
    <row r="1135" spans="1:28" hidden="1">
      <c r="A1135" s="751">
        <v>56527</v>
      </c>
      <c r="B1135" s="752" t="s">
        <v>35</v>
      </c>
      <c r="C1135" s="751" t="s">
        <v>2960</v>
      </c>
      <c r="D1135" s="752" t="s">
        <v>1074</v>
      </c>
      <c r="E1135" s="752" t="s">
        <v>945</v>
      </c>
      <c r="F1135" s="751">
        <v>54842</v>
      </c>
      <c r="G1135" s="752" t="s">
        <v>83</v>
      </c>
      <c r="H1135" s="752" t="s">
        <v>1245</v>
      </c>
      <c r="I1135" s="752" t="s">
        <v>60</v>
      </c>
      <c r="J1135" s="751">
        <v>22</v>
      </c>
      <c r="K1135" s="751">
        <v>2</v>
      </c>
      <c r="L1135" s="752" t="s">
        <v>54</v>
      </c>
      <c r="M1135" s="752" t="s">
        <v>53</v>
      </c>
      <c r="N1135" s="752" t="s">
        <v>65</v>
      </c>
      <c r="O1135" s="752" t="s">
        <v>66</v>
      </c>
      <c r="P1135" s="752" t="s">
        <v>1091</v>
      </c>
      <c r="Q1135" s="753">
        <v>838430</v>
      </c>
      <c r="R1135" s="753">
        <v>838430</v>
      </c>
      <c r="S1135" s="753">
        <v>417539</v>
      </c>
      <c r="T1135" s="753">
        <v>417539</v>
      </c>
      <c r="U1135" s="753">
        <v>37641</v>
      </c>
      <c r="V1135" s="751">
        <v>2019</v>
      </c>
      <c r="W1135" s="222"/>
      <c r="X1135" s="186"/>
      <c r="Y1135" s="178" t="str">
        <f t="shared" si="60"/>
        <v/>
      </c>
      <c r="Z1135" s="178" t="str">
        <f t="shared" si="61"/>
        <v/>
      </c>
      <c r="AA1135" s="44"/>
      <c r="AB1135" s="65"/>
    </row>
    <row r="1136" spans="1:28" s="154" customFormat="1" hidden="1">
      <c r="A1136" s="751">
        <v>56575</v>
      </c>
      <c r="B1136" s="752" t="s">
        <v>35</v>
      </c>
      <c r="C1136" s="751" t="s">
        <v>2960</v>
      </c>
      <c r="D1136" s="752" t="s">
        <v>1075</v>
      </c>
      <c r="E1136" s="752" t="s">
        <v>1671</v>
      </c>
      <c r="F1136" s="751">
        <v>59155</v>
      </c>
      <c r="G1136" s="752" t="s">
        <v>59</v>
      </c>
      <c r="H1136" s="752" t="s">
        <v>1244</v>
      </c>
      <c r="I1136" s="752" t="s">
        <v>60</v>
      </c>
      <c r="J1136" s="751">
        <v>22</v>
      </c>
      <c r="K1136" s="751">
        <v>2</v>
      </c>
      <c r="L1136" s="752" t="s">
        <v>54</v>
      </c>
      <c r="M1136" s="752" t="s">
        <v>73</v>
      </c>
      <c r="N1136" s="752" t="s">
        <v>74</v>
      </c>
      <c r="O1136" s="752" t="s">
        <v>74</v>
      </c>
      <c r="P1136" s="752" t="s">
        <v>1238</v>
      </c>
      <c r="Q1136" s="753">
        <v>0</v>
      </c>
      <c r="R1136" s="753">
        <v>0</v>
      </c>
      <c r="S1136" s="753">
        <v>234754</v>
      </c>
      <c r="T1136" s="753">
        <v>234754</v>
      </c>
      <c r="U1136" s="753">
        <v>26365</v>
      </c>
      <c r="V1136" s="751">
        <v>2019</v>
      </c>
      <c r="W1136" s="222"/>
      <c r="X1136" s="186">
        <f>IF(OR(K1136&gt;3,T1136=0,NOT(U1136&gt;0)),"",T1136/U1136)</f>
        <v>8.9040015171629054</v>
      </c>
      <c r="Y1136" s="178" t="str">
        <f t="shared" si="60"/>
        <v/>
      </c>
      <c r="Z1136" s="178" t="str">
        <f t="shared" si="61"/>
        <v/>
      </c>
      <c r="AA1136" s="44"/>
      <c r="AB1136" s="179"/>
    </row>
    <row r="1137" spans="1:28" s="154" customFormat="1" hidden="1">
      <c r="A1137" s="751">
        <v>56594</v>
      </c>
      <c r="B1137" s="752" t="s">
        <v>35</v>
      </c>
      <c r="C1137" s="751" t="s">
        <v>2960</v>
      </c>
      <c r="D1137" s="752" t="s">
        <v>144</v>
      </c>
      <c r="E1137" s="752" t="s">
        <v>2976</v>
      </c>
      <c r="F1137" s="751">
        <v>56215</v>
      </c>
      <c r="G1137" s="752" t="s">
        <v>59</v>
      </c>
      <c r="H1137" s="752" t="s">
        <v>1244</v>
      </c>
      <c r="I1137" s="752" t="s">
        <v>60</v>
      </c>
      <c r="J1137" s="751">
        <v>22</v>
      </c>
      <c r="K1137" s="751">
        <v>2</v>
      </c>
      <c r="L1137" s="752" t="s">
        <v>54</v>
      </c>
      <c r="M1137" s="752" t="s">
        <v>73</v>
      </c>
      <c r="N1137" s="752" t="s">
        <v>74</v>
      </c>
      <c r="O1137" s="752" t="s">
        <v>74</v>
      </c>
      <c r="P1137" s="752" t="s">
        <v>1238</v>
      </c>
      <c r="Q1137" s="753">
        <v>0</v>
      </c>
      <c r="R1137" s="753">
        <v>0</v>
      </c>
      <c r="S1137" s="753">
        <v>295855</v>
      </c>
      <c r="T1137" s="753">
        <v>295855</v>
      </c>
      <c r="U1137" s="753">
        <v>33227</v>
      </c>
      <c r="V1137" s="751">
        <v>2019</v>
      </c>
      <c r="W1137" s="222"/>
      <c r="X1137" s="186"/>
      <c r="Y1137" s="178" t="str">
        <f t="shared" si="60"/>
        <v/>
      </c>
      <c r="Z1137" s="178" t="str">
        <f t="shared" si="61"/>
        <v/>
      </c>
      <c r="AA1137" s="44"/>
      <c r="AB1137" s="179"/>
    </row>
    <row r="1138" spans="1:28" hidden="1">
      <c r="A1138" s="751">
        <v>56618</v>
      </c>
      <c r="B1138" s="752" t="s">
        <v>35</v>
      </c>
      <c r="C1138" s="751" t="s">
        <v>2960</v>
      </c>
      <c r="D1138" s="752" t="s">
        <v>459</v>
      </c>
      <c r="E1138" s="752" t="s">
        <v>460</v>
      </c>
      <c r="F1138" s="751">
        <v>55868</v>
      </c>
      <c r="G1138" s="752" t="s">
        <v>59</v>
      </c>
      <c r="H1138" s="752" t="s">
        <v>1244</v>
      </c>
      <c r="I1138" s="752" t="s">
        <v>60</v>
      </c>
      <c r="J1138" s="751">
        <v>22</v>
      </c>
      <c r="K1138" s="751">
        <v>2</v>
      </c>
      <c r="L1138" s="752" t="s">
        <v>54</v>
      </c>
      <c r="M1138" s="752" t="s">
        <v>73</v>
      </c>
      <c r="N1138" s="752" t="s">
        <v>74</v>
      </c>
      <c r="O1138" s="752" t="s">
        <v>74</v>
      </c>
      <c r="P1138" s="752" t="s">
        <v>1238</v>
      </c>
      <c r="Q1138" s="753">
        <v>0</v>
      </c>
      <c r="R1138" s="753">
        <v>0</v>
      </c>
      <c r="S1138" s="753">
        <v>1494910</v>
      </c>
      <c r="T1138" s="753">
        <v>1494910</v>
      </c>
      <c r="U1138" s="753">
        <v>167892</v>
      </c>
      <c r="V1138" s="751">
        <v>2019</v>
      </c>
      <c r="W1138" s="222"/>
      <c r="X1138" s="186"/>
      <c r="Y1138" s="178" t="str">
        <f t="shared" si="60"/>
        <v/>
      </c>
      <c r="Z1138" s="178" t="str">
        <f t="shared" si="61"/>
        <v/>
      </c>
      <c r="AA1138" s="44"/>
      <c r="AB1138" s="65"/>
    </row>
    <row r="1139" spans="1:28" hidden="1">
      <c r="A1139" s="751">
        <v>56619</v>
      </c>
      <c r="B1139" s="752" t="s">
        <v>35</v>
      </c>
      <c r="C1139" s="751" t="s">
        <v>2960</v>
      </c>
      <c r="D1139" s="752" t="s">
        <v>461</v>
      </c>
      <c r="E1139" s="752" t="s">
        <v>460</v>
      </c>
      <c r="F1139" s="751">
        <v>55868</v>
      </c>
      <c r="G1139" s="752" t="s">
        <v>59</v>
      </c>
      <c r="H1139" s="752" t="s">
        <v>1244</v>
      </c>
      <c r="I1139" s="752" t="s">
        <v>60</v>
      </c>
      <c r="J1139" s="751">
        <v>22</v>
      </c>
      <c r="K1139" s="751">
        <v>2</v>
      </c>
      <c r="L1139" s="752" t="s">
        <v>54</v>
      </c>
      <c r="M1139" s="752" t="s">
        <v>73</v>
      </c>
      <c r="N1139" s="752" t="s">
        <v>74</v>
      </c>
      <c r="O1139" s="752" t="s">
        <v>74</v>
      </c>
      <c r="P1139" s="752" t="s">
        <v>1238</v>
      </c>
      <c r="Q1139" s="753">
        <v>0</v>
      </c>
      <c r="R1139" s="753">
        <v>0</v>
      </c>
      <c r="S1139" s="753">
        <v>1407909</v>
      </c>
      <c r="T1139" s="753">
        <v>1407909</v>
      </c>
      <c r="U1139" s="753">
        <v>158121</v>
      </c>
      <c r="V1139" s="751">
        <v>2019</v>
      </c>
      <c r="W1139" s="222"/>
      <c r="X1139" s="186"/>
      <c r="Y1139" s="178" t="str">
        <f t="shared" si="60"/>
        <v/>
      </c>
      <c r="Z1139" s="178" t="str">
        <f t="shared" si="61"/>
        <v/>
      </c>
      <c r="AA1139" s="44"/>
      <c r="AB1139" s="65"/>
    </row>
    <row r="1140" spans="1:28" hidden="1">
      <c r="A1140" s="751">
        <v>56620</v>
      </c>
      <c r="B1140" s="752" t="s">
        <v>35</v>
      </c>
      <c r="C1140" s="751" t="s">
        <v>2960</v>
      </c>
      <c r="D1140" s="752" t="s">
        <v>462</v>
      </c>
      <c r="E1140" s="752" t="s">
        <v>460</v>
      </c>
      <c r="F1140" s="751">
        <v>55868</v>
      </c>
      <c r="G1140" s="752" t="s">
        <v>59</v>
      </c>
      <c r="H1140" s="752" t="s">
        <v>1244</v>
      </c>
      <c r="I1140" s="752" t="s">
        <v>60</v>
      </c>
      <c r="J1140" s="751">
        <v>22</v>
      </c>
      <c r="K1140" s="751">
        <v>2</v>
      </c>
      <c r="L1140" s="752" t="s">
        <v>54</v>
      </c>
      <c r="M1140" s="752" t="s">
        <v>73</v>
      </c>
      <c r="N1140" s="752" t="s">
        <v>74</v>
      </c>
      <c r="O1140" s="752" t="s">
        <v>74</v>
      </c>
      <c r="P1140" s="752" t="s">
        <v>1238</v>
      </c>
      <c r="Q1140" s="753">
        <v>0</v>
      </c>
      <c r="R1140" s="753">
        <v>0</v>
      </c>
      <c r="S1140" s="753">
        <v>1837545</v>
      </c>
      <c r="T1140" s="753">
        <v>1837545</v>
      </c>
      <c r="U1140" s="753">
        <v>206373</v>
      </c>
      <c r="V1140" s="751">
        <v>2019</v>
      </c>
      <c r="W1140" s="222"/>
      <c r="X1140" s="186"/>
      <c r="Y1140" s="178" t="str">
        <f t="shared" si="60"/>
        <v/>
      </c>
      <c r="Z1140" s="178" t="str">
        <f t="shared" si="61"/>
        <v/>
      </c>
      <c r="AA1140" s="44"/>
      <c r="AB1140" s="65"/>
    </row>
    <row r="1141" spans="1:28" s="154" customFormat="1" hidden="1">
      <c r="A1141" s="751">
        <v>56629</v>
      </c>
      <c r="B1141" s="752" t="s">
        <v>35</v>
      </c>
      <c r="C1141" s="751" t="s">
        <v>2960</v>
      </c>
      <c r="D1141" s="752" t="s">
        <v>481</v>
      </c>
      <c r="E1141" s="752" t="s">
        <v>2257</v>
      </c>
      <c r="F1141" s="751">
        <v>56201</v>
      </c>
      <c r="G1141" s="752" t="s">
        <v>43</v>
      </c>
      <c r="H1141" s="752" t="s">
        <v>1245</v>
      </c>
      <c r="I1141" s="752" t="s">
        <v>60</v>
      </c>
      <c r="J1141" s="751">
        <v>22</v>
      </c>
      <c r="K1141" s="751">
        <v>2</v>
      </c>
      <c r="L1141" s="752" t="s">
        <v>54</v>
      </c>
      <c r="M1141" s="752" t="s">
        <v>52</v>
      </c>
      <c r="N1141" s="752" t="s">
        <v>48</v>
      </c>
      <c r="O1141" s="752" t="s">
        <v>48</v>
      </c>
      <c r="P1141" s="752" t="s">
        <v>49</v>
      </c>
      <c r="Q1141" s="753">
        <v>0</v>
      </c>
      <c r="R1141" s="753">
        <v>0</v>
      </c>
      <c r="S1141" s="753">
        <v>0</v>
      </c>
      <c r="T1141" s="753">
        <v>0</v>
      </c>
      <c r="U1141" s="753">
        <v>0</v>
      </c>
      <c r="V1141" s="751">
        <v>2019</v>
      </c>
      <c r="W1141" s="222" t="s">
        <v>2666</v>
      </c>
      <c r="X1141" s="186"/>
      <c r="Y1141" s="178" t="str">
        <f t="shared" si="60"/>
        <v/>
      </c>
      <c r="Z1141" s="178" t="str">
        <f t="shared" si="61"/>
        <v/>
      </c>
      <c r="AA1141" s="44"/>
      <c r="AB1141" s="179"/>
    </row>
    <row r="1142" spans="1:28" hidden="1">
      <c r="A1142" s="751">
        <v>56629</v>
      </c>
      <c r="B1142" s="752" t="s">
        <v>35</v>
      </c>
      <c r="C1142" s="751" t="s">
        <v>2960</v>
      </c>
      <c r="D1142" s="752" t="s">
        <v>481</v>
      </c>
      <c r="E1142" s="752" t="s">
        <v>2257</v>
      </c>
      <c r="F1142" s="751">
        <v>56201</v>
      </c>
      <c r="G1142" s="752" t="s">
        <v>43</v>
      </c>
      <c r="H1142" s="752" t="s">
        <v>1245</v>
      </c>
      <c r="I1142" s="752" t="s">
        <v>60</v>
      </c>
      <c r="J1142" s="751">
        <v>22</v>
      </c>
      <c r="K1142" s="751">
        <v>2</v>
      </c>
      <c r="L1142" s="752" t="s">
        <v>54</v>
      </c>
      <c r="M1142" s="752" t="s">
        <v>52</v>
      </c>
      <c r="N1142" s="752" t="s">
        <v>78</v>
      </c>
      <c r="O1142" s="752" t="s">
        <v>69</v>
      </c>
      <c r="P1142" s="752" t="s">
        <v>49</v>
      </c>
      <c r="Q1142" s="753">
        <v>2563</v>
      </c>
      <c r="R1142" s="753">
        <v>2563</v>
      </c>
      <c r="S1142" s="753">
        <v>14533</v>
      </c>
      <c r="T1142" s="753">
        <v>14533</v>
      </c>
      <c r="U1142" s="753">
        <v>1508.415</v>
      </c>
      <c r="V1142" s="751">
        <v>2019</v>
      </c>
      <c r="W1142" s="222" t="s">
        <v>2666</v>
      </c>
      <c r="X1142" s="186"/>
      <c r="Y1142" s="178" t="str">
        <f t="shared" si="60"/>
        <v/>
      </c>
      <c r="Z1142" s="178" t="str">
        <f t="shared" si="61"/>
        <v/>
      </c>
      <c r="AA1142" s="44"/>
      <c r="AB1142" s="65"/>
    </row>
    <row r="1143" spans="1:28" hidden="1">
      <c r="A1143" s="751">
        <v>56629</v>
      </c>
      <c r="B1143" s="752" t="s">
        <v>35</v>
      </c>
      <c r="C1143" s="751" t="s">
        <v>2960</v>
      </c>
      <c r="D1143" s="752" t="s">
        <v>481</v>
      </c>
      <c r="E1143" s="752" t="s">
        <v>2257</v>
      </c>
      <c r="F1143" s="751">
        <v>56201</v>
      </c>
      <c r="G1143" s="752" t="s">
        <v>43</v>
      </c>
      <c r="H1143" s="752" t="s">
        <v>1245</v>
      </c>
      <c r="I1143" s="752" t="s">
        <v>60</v>
      </c>
      <c r="J1143" s="751">
        <v>22</v>
      </c>
      <c r="K1143" s="751">
        <v>2</v>
      </c>
      <c r="L1143" s="752" t="s">
        <v>54</v>
      </c>
      <c r="M1143" s="752" t="s">
        <v>52</v>
      </c>
      <c r="N1143" s="752" t="s">
        <v>41</v>
      </c>
      <c r="O1143" s="752" t="s">
        <v>41</v>
      </c>
      <c r="P1143" s="752" t="s">
        <v>1091</v>
      </c>
      <c r="Q1143" s="753">
        <v>95229</v>
      </c>
      <c r="R1143" s="753">
        <v>95229</v>
      </c>
      <c r="S1143" s="753">
        <v>95229</v>
      </c>
      <c r="T1143" s="753">
        <v>95229</v>
      </c>
      <c r="U1143" s="753">
        <v>9884.5849999999991</v>
      </c>
      <c r="V1143" s="751">
        <v>2019</v>
      </c>
      <c r="W1143" s="222" t="s">
        <v>2666</v>
      </c>
      <c r="X1143" s="186">
        <f>IF(OR(K1143&gt;3,T1143=0,NOT(U1143&gt;0)),"",T1143/U1143)</f>
        <v>9.6340918713329913</v>
      </c>
      <c r="Y1143" s="178" t="str">
        <f t="shared" si="60"/>
        <v/>
      </c>
      <c r="Z1143" s="178" t="str">
        <f t="shared" si="61"/>
        <v/>
      </c>
      <c r="AA1143" s="44"/>
      <c r="AB1143" s="65"/>
    </row>
    <row r="1144" spans="1:28" hidden="1">
      <c r="A1144" s="751">
        <v>56633</v>
      </c>
      <c r="B1144" s="752" t="s">
        <v>35</v>
      </c>
      <c r="C1144" s="751" t="s">
        <v>2960</v>
      </c>
      <c r="D1144" s="752" t="s">
        <v>1121</v>
      </c>
      <c r="E1144" s="752" t="s">
        <v>1671</v>
      </c>
      <c r="F1144" s="751">
        <v>59155</v>
      </c>
      <c r="G1144" s="752" t="s">
        <v>59</v>
      </c>
      <c r="H1144" s="752" t="s">
        <v>1244</v>
      </c>
      <c r="I1144" s="752" t="s">
        <v>60</v>
      </c>
      <c r="J1144" s="751">
        <v>22</v>
      </c>
      <c r="K1144" s="751">
        <v>2</v>
      </c>
      <c r="L1144" s="752" t="s">
        <v>54</v>
      </c>
      <c r="M1144" s="752" t="s">
        <v>73</v>
      </c>
      <c r="N1144" s="752" t="s">
        <v>74</v>
      </c>
      <c r="O1144" s="752" t="s">
        <v>74</v>
      </c>
      <c r="P1144" s="752" t="s">
        <v>1238</v>
      </c>
      <c r="Q1144" s="753">
        <v>0</v>
      </c>
      <c r="R1144" s="753">
        <v>0</v>
      </c>
      <c r="S1144" s="753">
        <v>566631</v>
      </c>
      <c r="T1144" s="753">
        <v>566631</v>
      </c>
      <c r="U1144" s="753">
        <v>63638</v>
      </c>
      <c r="V1144" s="751">
        <v>2019</v>
      </c>
      <c r="W1144" s="222"/>
      <c r="X1144" s="186">
        <f>IF(OR(K1144&gt;3,T1144=0,NOT(U1144&gt;0)),"",T1144/U1144)</f>
        <v>8.9039724692793616</v>
      </c>
      <c r="Y1144" s="178" t="str">
        <f t="shared" si="60"/>
        <v/>
      </c>
      <c r="Z1144" s="178" t="str">
        <f t="shared" si="61"/>
        <v/>
      </c>
      <c r="AA1144" s="44"/>
      <c r="AB1144" s="65"/>
    </row>
    <row r="1145" spans="1:28" hidden="1">
      <c r="A1145" s="751">
        <v>56634</v>
      </c>
      <c r="B1145" s="752" t="s">
        <v>35</v>
      </c>
      <c r="C1145" s="751" t="s">
        <v>2960</v>
      </c>
      <c r="D1145" s="752" t="s">
        <v>1122</v>
      </c>
      <c r="E1145" s="752" t="s">
        <v>1671</v>
      </c>
      <c r="F1145" s="751">
        <v>59155</v>
      </c>
      <c r="G1145" s="752" t="s">
        <v>59</v>
      </c>
      <c r="H1145" s="752" t="s">
        <v>1244</v>
      </c>
      <c r="I1145" s="752" t="s">
        <v>60</v>
      </c>
      <c r="J1145" s="751">
        <v>22</v>
      </c>
      <c r="K1145" s="751">
        <v>2</v>
      </c>
      <c r="L1145" s="752" t="s">
        <v>54</v>
      </c>
      <c r="M1145" s="752" t="s">
        <v>73</v>
      </c>
      <c r="N1145" s="752" t="s">
        <v>74</v>
      </c>
      <c r="O1145" s="752" t="s">
        <v>74</v>
      </c>
      <c r="P1145" s="752" t="s">
        <v>1238</v>
      </c>
      <c r="Q1145" s="753">
        <v>0</v>
      </c>
      <c r="R1145" s="753">
        <v>0</v>
      </c>
      <c r="S1145" s="753">
        <v>1203278</v>
      </c>
      <c r="T1145" s="753">
        <v>1203278</v>
      </c>
      <c r="U1145" s="753">
        <v>135139</v>
      </c>
      <c r="V1145" s="751">
        <v>2019</v>
      </c>
      <c r="W1145" s="222"/>
      <c r="X1145" s="186"/>
      <c r="Y1145" s="178" t="str">
        <f t="shared" si="60"/>
        <v/>
      </c>
      <c r="Z1145" s="178" t="str">
        <f t="shared" si="61"/>
        <v/>
      </c>
      <c r="AA1145" s="44"/>
      <c r="AB1145" s="65"/>
    </row>
    <row r="1146" spans="1:28" hidden="1">
      <c r="A1146" s="751">
        <v>56703</v>
      </c>
      <c r="B1146" s="752" t="s">
        <v>35</v>
      </c>
      <c r="C1146" s="751" t="s">
        <v>2960</v>
      </c>
      <c r="D1146" s="752" t="s">
        <v>1123</v>
      </c>
      <c r="E1146" s="752" t="s">
        <v>1076</v>
      </c>
      <c r="F1146" s="751">
        <v>55941</v>
      </c>
      <c r="G1146" s="752" t="s">
        <v>59</v>
      </c>
      <c r="H1146" s="752" t="s">
        <v>1244</v>
      </c>
      <c r="I1146" s="752" t="s">
        <v>60</v>
      </c>
      <c r="J1146" s="751">
        <v>22</v>
      </c>
      <c r="K1146" s="751">
        <v>2</v>
      </c>
      <c r="L1146" s="752" t="s">
        <v>54</v>
      </c>
      <c r="M1146" s="752" t="s">
        <v>37</v>
      </c>
      <c r="N1146" s="752" t="s">
        <v>38</v>
      </c>
      <c r="O1146" s="752" t="s">
        <v>39</v>
      </c>
      <c r="P1146" s="752" t="s">
        <v>1238</v>
      </c>
      <c r="Q1146" s="753">
        <v>0</v>
      </c>
      <c r="R1146" s="753">
        <v>0</v>
      </c>
      <c r="S1146" s="753">
        <v>259960</v>
      </c>
      <c r="T1146" s="753">
        <v>259960</v>
      </c>
      <c r="U1146" s="753">
        <v>29196</v>
      </c>
      <c r="V1146" s="751">
        <v>2019</v>
      </c>
      <c r="W1146" s="222"/>
      <c r="X1146" s="186"/>
      <c r="Y1146" s="178" t="str">
        <f t="shared" si="60"/>
        <v/>
      </c>
      <c r="Z1146" s="178" t="str">
        <f t="shared" si="61"/>
        <v/>
      </c>
      <c r="AA1146" s="44"/>
      <c r="AB1146" s="65"/>
    </row>
    <row r="1147" spans="1:28" hidden="1">
      <c r="A1147" s="751">
        <v>56704</v>
      </c>
      <c r="B1147" s="752" t="s">
        <v>35</v>
      </c>
      <c r="C1147" s="751" t="s">
        <v>2960</v>
      </c>
      <c r="D1147" s="752" t="s">
        <v>1077</v>
      </c>
      <c r="E1147" s="752" t="s">
        <v>1076</v>
      </c>
      <c r="F1147" s="751">
        <v>55941</v>
      </c>
      <c r="G1147" s="752" t="s">
        <v>59</v>
      </c>
      <c r="H1147" s="752" t="s">
        <v>1244</v>
      </c>
      <c r="I1147" s="752" t="s">
        <v>60</v>
      </c>
      <c r="J1147" s="751">
        <v>22</v>
      </c>
      <c r="K1147" s="751">
        <v>2</v>
      </c>
      <c r="L1147" s="752" t="s">
        <v>54</v>
      </c>
      <c r="M1147" s="752" t="s">
        <v>37</v>
      </c>
      <c r="N1147" s="752" t="s">
        <v>38</v>
      </c>
      <c r="O1147" s="752" t="s">
        <v>39</v>
      </c>
      <c r="P1147" s="752" t="s">
        <v>1238</v>
      </c>
      <c r="Q1147" s="753">
        <v>0</v>
      </c>
      <c r="R1147" s="753">
        <v>0</v>
      </c>
      <c r="S1147" s="753">
        <v>16375</v>
      </c>
      <c r="T1147" s="753">
        <v>16375</v>
      </c>
      <c r="U1147" s="753">
        <v>1839</v>
      </c>
      <c r="V1147" s="751">
        <v>2019</v>
      </c>
      <c r="W1147" s="222"/>
      <c r="X1147" s="186"/>
      <c r="Y1147" s="178" t="str">
        <f t="shared" si="60"/>
        <v/>
      </c>
      <c r="Z1147" s="178" t="str">
        <f t="shared" si="61"/>
        <v/>
      </c>
      <c r="AA1147" s="44"/>
      <c r="AB1147" s="65"/>
    </row>
    <row r="1148" spans="1:28" hidden="1">
      <c r="A1148" s="751">
        <v>56705</v>
      </c>
      <c r="B1148" s="752" t="s">
        <v>35</v>
      </c>
      <c r="C1148" s="751" t="s">
        <v>2960</v>
      </c>
      <c r="D1148" s="752" t="s">
        <v>1078</v>
      </c>
      <c r="E1148" s="752" t="s">
        <v>1076</v>
      </c>
      <c r="F1148" s="751">
        <v>55941</v>
      </c>
      <c r="G1148" s="752" t="s">
        <v>59</v>
      </c>
      <c r="H1148" s="752" t="s">
        <v>1244</v>
      </c>
      <c r="I1148" s="752" t="s">
        <v>60</v>
      </c>
      <c r="J1148" s="751">
        <v>22</v>
      </c>
      <c r="K1148" s="751">
        <v>2</v>
      </c>
      <c r="L1148" s="752" t="s">
        <v>54</v>
      </c>
      <c r="M1148" s="752" t="s">
        <v>37</v>
      </c>
      <c r="N1148" s="752" t="s">
        <v>38</v>
      </c>
      <c r="O1148" s="752" t="s">
        <v>39</v>
      </c>
      <c r="P1148" s="752" t="s">
        <v>1238</v>
      </c>
      <c r="Q1148" s="753">
        <v>0</v>
      </c>
      <c r="R1148" s="753">
        <v>0</v>
      </c>
      <c r="S1148" s="753">
        <v>19322</v>
      </c>
      <c r="T1148" s="753">
        <v>19322</v>
      </c>
      <c r="U1148" s="753">
        <v>2170</v>
      </c>
      <c r="V1148" s="751">
        <v>2019</v>
      </c>
      <c r="W1148" s="222"/>
      <c r="X1148" s="186"/>
      <c r="Y1148" s="178" t="str">
        <f t="shared" si="60"/>
        <v/>
      </c>
      <c r="Z1148" s="178" t="str">
        <f t="shared" si="61"/>
        <v/>
      </c>
      <c r="AA1148" s="44"/>
      <c r="AB1148" s="65"/>
    </row>
    <row r="1149" spans="1:28" hidden="1">
      <c r="A1149" s="751">
        <v>56798</v>
      </c>
      <c r="B1149" s="752" t="s">
        <v>35</v>
      </c>
      <c r="C1149" s="751" t="s">
        <v>2960</v>
      </c>
      <c r="D1149" s="752" t="s">
        <v>1148</v>
      </c>
      <c r="E1149" s="752" t="s">
        <v>1183</v>
      </c>
      <c r="F1149" s="751">
        <v>55993</v>
      </c>
      <c r="G1149" s="752" t="s">
        <v>43</v>
      </c>
      <c r="H1149" s="752" t="s">
        <v>1245</v>
      </c>
      <c r="I1149" s="752" t="s">
        <v>60</v>
      </c>
      <c r="J1149" s="751">
        <v>22</v>
      </c>
      <c r="K1149" s="751">
        <v>2</v>
      </c>
      <c r="L1149" s="752" t="s">
        <v>54</v>
      </c>
      <c r="M1149" s="752" t="s">
        <v>40</v>
      </c>
      <c r="N1149" s="752" t="s">
        <v>48</v>
      </c>
      <c r="O1149" s="752" t="s">
        <v>48</v>
      </c>
      <c r="P1149" s="752" t="s">
        <v>49</v>
      </c>
      <c r="Q1149" s="753">
        <v>0</v>
      </c>
      <c r="R1149" s="753">
        <v>0</v>
      </c>
      <c r="S1149" s="753">
        <v>0</v>
      </c>
      <c r="T1149" s="753">
        <v>0</v>
      </c>
      <c r="U1149" s="753">
        <v>461.21300000000002</v>
      </c>
      <c r="V1149" s="751">
        <v>2019</v>
      </c>
      <c r="W1149" s="222" t="s">
        <v>2666</v>
      </c>
      <c r="X1149" s="186"/>
      <c r="Y1149" s="178" t="str">
        <f t="shared" si="60"/>
        <v/>
      </c>
      <c r="Z1149" s="178" t="str">
        <f t="shared" si="61"/>
        <v/>
      </c>
      <c r="AA1149" s="44"/>
      <c r="AB1149" s="65"/>
    </row>
    <row r="1150" spans="1:28" hidden="1">
      <c r="A1150" s="751">
        <v>56798</v>
      </c>
      <c r="B1150" s="752" t="s">
        <v>35</v>
      </c>
      <c r="C1150" s="751" t="s">
        <v>2960</v>
      </c>
      <c r="D1150" s="752" t="s">
        <v>1148</v>
      </c>
      <c r="E1150" s="752" t="s">
        <v>1183</v>
      </c>
      <c r="F1150" s="751">
        <v>55993</v>
      </c>
      <c r="G1150" s="752" t="s">
        <v>43</v>
      </c>
      <c r="H1150" s="752" t="s">
        <v>1245</v>
      </c>
      <c r="I1150" s="752" t="s">
        <v>60</v>
      </c>
      <c r="J1150" s="751">
        <v>22</v>
      </c>
      <c r="K1150" s="751">
        <v>2</v>
      </c>
      <c r="L1150" s="752" t="s">
        <v>54</v>
      </c>
      <c r="M1150" s="752" t="s">
        <v>40</v>
      </c>
      <c r="N1150" s="752" t="s">
        <v>41</v>
      </c>
      <c r="O1150" s="752" t="s">
        <v>41</v>
      </c>
      <c r="P1150" s="752" t="s">
        <v>1091</v>
      </c>
      <c r="Q1150" s="753">
        <v>504584</v>
      </c>
      <c r="R1150" s="753">
        <v>504584</v>
      </c>
      <c r="S1150" s="753">
        <v>517823</v>
      </c>
      <c r="T1150" s="753">
        <v>517823</v>
      </c>
      <c r="U1150" s="753">
        <v>819300.79</v>
      </c>
      <c r="V1150" s="751">
        <v>2019</v>
      </c>
      <c r="W1150" s="222" t="s">
        <v>2666</v>
      </c>
      <c r="X1150" s="186"/>
      <c r="Y1150" s="178" t="str">
        <f t="shared" si="60"/>
        <v/>
      </c>
      <c r="Z1150" s="178" t="str">
        <f t="shared" si="61"/>
        <v/>
      </c>
      <c r="AA1150" s="44"/>
      <c r="AB1150" s="65"/>
    </row>
    <row r="1151" spans="1:28" hidden="1">
      <c r="A1151" s="751">
        <v>56798</v>
      </c>
      <c r="B1151" s="752" t="s">
        <v>35</v>
      </c>
      <c r="C1151" s="751" t="s">
        <v>2960</v>
      </c>
      <c r="D1151" s="752" t="s">
        <v>1148</v>
      </c>
      <c r="E1151" s="752" t="s">
        <v>1183</v>
      </c>
      <c r="F1151" s="751">
        <v>55993</v>
      </c>
      <c r="G1151" s="752" t="s">
        <v>43</v>
      </c>
      <c r="H1151" s="752" t="s">
        <v>1245</v>
      </c>
      <c r="I1151" s="752" t="s">
        <v>60</v>
      </c>
      <c r="J1151" s="751">
        <v>22</v>
      </c>
      <c r="K1151" s="751">
        <v>2</v>
      </c>
      <c r="L1151" s="752" t="s">
        <v>54</v>
      </c>
      <c r="M1151" s="752" t="s">
        <v>43</v>
      </c>
      <c r="N1151" s="752" t="s">
        <v>48</v>
      </c>
      <c r="O1151" s="752" t="s">
        <v>48</v>
      </c>
      <c r="P1151" s="752" t="s">
        <v>49</v>
      </c>
      <c r="Q1151" s="753">
        <v>1649</v>
      </c>
      <c r="R1151" s="753">
        <v>1649</v>
      </c>
      <c r="S1151" s="753">
        <v>9627</v>
      </c>
      <c r="T1151" s="753">
        <v>9627</v>
      </c>
      <c r="U1151" s="753">
        <v>853.43899999999996</v>
      </c>
      <c r="V1151" s="751">
        <v>2019</v>
      </c>
      <c r="W1151" s="222" t="s">
        <v>2666</v>
      </c>
      <c r="X1151" s="186">
        <f>IF(OR(K1151&gt;3,T1151=0,NOT(U1151&gt;0)),"",T1151/U1151)</f>
        <v>11.280243813559025</v>
      </c>
      <c r="Y1151" s="178" t="str">
        <f t="shared" si="60"/>
        <v/>
      </c>
      <c r="Z1151" s="178" t="str">
        <f t="shared" si="61"/>
        <v/>
      </c>
      <c r="AA1151" s="44"/>
      <c r="AB1151" s="65"/>
    </row>
    <row r="1152" spans="1:28" hidden="1">
      <c r="A1152" s="751">
        <v>56798</v>
      </c>
      <c r="B1152" s="752" t="s">
        <v>35</v>
      </c>
      <c r="C1152" s="751" t="s">
        <v>2960</v>
      </c>
      <c r="D1152" s="752" t="s">
        <v>1148</v>
      </c>
      <c r="E1152" s="752" t="s">
        <v>1183</v>
      </c>
      <c r="F1152" s="751">
        <v>55993</v>
      </c>
      <c r="G1152" s="752" t="s">
        <v>43</v>
      </c>
      <c r="H1152" s="752" t="s">
        <v>1245</v>
      </c>
      <c r="I1152" s="752" t="s">
        <v>60</v>
      </c>
      <c r="J1152" s="751">
        <v>22</v>
      </c>
      <c r="K1152" s="751">
        <v>2</v>
      </c>
      <c r="L1152" s="752" t="s">
        <v>54</v>
      </c>
      <c r="M1152" s="752" t="s">
        <v>43</v>
      </c>
      <c r="N1152" s="752" t="s">
        <v>41</v>
      </c>
      <c r="O1152" s="752" t="s">
        <v>41</v>
      </c>
      <c r="P1152" s="752" t="s">
        <v>1091</v>
      </c>
      <c r="Q1152" s="753">
        <v>14486141</v>
      </c>
      <c r="R1152" s="753">
        <v>14486141</v>
      </c>
      <c r="S1152" s="753">
        <v>14870862</v>
      </c>
      <c r="T1152" s="753">
        <v>14870862</v>
      </c>
      <c r="U1152" s="753">
        <v>1294824.6000000001</v>
      </c>
      <c r="V1152" s="751">
        <v>2019</v>
      </c>
      <c r="W1152" s="222" t="s">
        <v>2666</v>
      </c>
      <c r="X1152" s="186">
        <f>IF(OR(K1152&gt;3,T1152=0,NOT(U1152&gt;0)),"",T1152/U1152)</f>
        <v>11.484846673441329</v>
      </c>
      <c r="Y1152" s="178" t="str">
        <f t="shared" si="60"/>
        <v/>
      </c>
      <c r="Z1152" s="178" t="str">
        <f t="shared" si="61"/>
        <v/>
      </c>
      <c r="AA1152" s="44"/>
      <c r="AB1152" s="65"/>
    </row>
    <row r="1153" spans="1:28" hidden="1">
      <c r="A1153" s="751">
        <v>56800</v>
      </c>
      <c r="B1153" s="752" t="s">
        <v>35</v>
      </c>
      <c r="C1153" s="751" t="s">
        <v>2960</v>
      </c>
      <c r="D1153" s="752" t="s">
        <v>1079</v>
      </c>
      <c r="E1153" s="752" t="s">
        <v>1080</v>
      </c>
      <c r="F1153" s="751">
        <v>8797</v>
      </c>
      <c r="G1153" s="752" t="s">
        <v>83</v>
      </c>
      <c r="H1153" s="752" t="s">
        <v>1245</v>
      </c>
      <c r="I1153" s="752" t="s">
        <v>60</v>
      </c>
      <c r="J1153" s="751">
        <v>22</v>
      </c>
      <c r="K1153" s="751">
        <v>1</v>
      </c>
      <c r="L1153" s="752" t="s">
        <v>36</v>
      </c>
      <c r="M1153" s="752" t="s">
        <v>73</v>
      </c>
      <c r="N1153" s="752" t="s">
        <v>74</v>
      </c>
      <c r="O1153" s="752" t="s">
        <v>74</v>
      </c>
      <c r="P1153" s="752" t="s">
        <v>1238</v>
      </c>
      <c r="Q1153" s="753">
        <v>0</v>
      </c>
      <c r="R1153" s="753">
        <v>0</v>
      </c>
      <c r="S1153" s="753">
        <v>35643</v>
      </c>
      <c r="T1153" s="753">
        <v>35643</v>
      </c>
      <c r="U1153" s="753">
        <v>4003</v>
      </c>
      <c r="V1153" s="751">
        <v>2019</v>
      </c>
      <c r="W1153" s="222"/>
      <c r="X1153" s="186">
        <f>IF(OR(K1153&gt;3,T1153=0,NOT(U1153&gt;0)),"",T1153/U1153)</f>
        <v>8.9040719460404691</v>
      </c>
      <c r="Y1153" s="178" t="str">
        <f t="shared" si="60"/>
        <v/>
      </c>
      <c r="Z1153" s="178" t="str">
        <f t="shared" si="61"/>
        <v/>
      </c>
      <c r="AA1153" s="44"/>
      <c r="AB1153" s="65"/>
    </row>
    <row r="1154" spans="1:28" ht="25" hidden="1">
      <c r="A1154" s="751">
        <v>56829</v>
      </c>
      <c r="B1154" s="752" t="s">
        <v>35</v>
      </c>
      <c r="C1154" s="751" t="s">
        <v>2960</v>
      </c>
      <c r="D1154" s="752" t="s">
        <v>2258</v>
      </c>
      <c r="E1154" s="752" t="s">
        <v>2259</v>
      </c>
      <c r="F1154" s="751">
        <v>61191</v>
      </c>
      <c r="G1154" s="752" t="s">
        <v>92</v>
      </c>
      <c r="H1154" s="752" t="s">
        <v>1245</v>
      </c>
      <c r="I1154" s="752" t="s">
        <v>60</v>
      </c>
      <c r="J1154" s="751">
        <v>22</v>
      </c>
      <c r="K1154" s="751">
        <v>2</v>
      </c>
      <c r="L1154" s="752" t="s">
        <v>54</v>
      </c>
      <c r="M1154" s="752" t="s">
        <v>73</v>
      </c>
      <c r="N1154" s="752" t="s">
        <v>74</v>
      </c>
      <c r="O1154" s="752" t="s">
        <v>74</v>
      </c>
      <c r="P1154" s="752" t="s">
        <v>1238</v>
      </c>
      <c r="Q1154" s="753">
        <v>0</v>
      </c>
      <c r="R1154" s="753">
        <v>0</v>
      </c>
      <c r="S1154" s="753">
        <v>2605240</v>
      </c>
      <c r="T1154" s="753">
        <v>2605240</v>
      </c>
      <c r="U1154" s="753">
        <v>292592</v>
      </c>
      <c r="V1154" s="751">
        <v>2019</v>
      </c>
      <c r="W1154" s="222"/>
      <c r="X1154" s="186"/>
      <c r="Y1154" s="178" t="str">
        <f t="shared" si="60"/>
        <v/>
      </c>
      <c r="Z1154" s="178" t="str">
        <f t="shared" si="61"/>
        <v/>
      </c>
      <c r="AA1154" s="44"/>
      <c r="AB1154" s="65"/>
    </row>
    <row r="1155" spans="1:28" hidden="1">
      <c r="A1155" s="751">
        <v>56847</v>
      </c>
      <c r="B1155" s="752" t="s">
        <v>35</v>
      </c>
      <c r="C1155" s="751" t="s">
        <v>2960</v>
      </c>
      <c r="D1155" s="752" t="s">
        <v>1775</v>
      </c>
      <c r="E1155" s="752" t="s">
        <v>1776</v>
      </c>
      <c r="F1155" s="751">
        <v>56067</v>
      </c>
      <c r="G1155" s="752" t="s">
        <v>43</v>
      </c>
      <c r="H1155" s="752" t="s">
        <v>1245</v>
      </c>
      <c r="I1155" s="752" t="s">
        <v>60</v>
      </c>
      <c r="J1155" s="751">
        <v>22</v>
      </c>
      <c r="K1155" s="751">
        <v>2</v>
      </c>
      <c r="L1155" s="752" t="s">
        <v>54</v>
      </c>
      <c r="M1155" s="752" t="s">
        <v>44</v>
      </c>
      <c r="N1155" s="752" t="s">
        <v>436</v>
      </c>
      <c r="O1155" s="752" t="s">
        <v>51</v>
      </c>
      <c r="P1155" s="752" t="s">
        <v>49</v>
      </c>
      <c r="Q1155" s="753">
        <v>1776</v>
      </c>
      <c r="R1155" s="753">
        <v>1776</v>
      </c>
      <c r="S1155" s="753">
        <v>9060</v>
      </c>
      <c r="T1155" s="753">
        <v>9060</v>
      </c>
      <c r="U1155" s="753">
        <v>768.51700000000005</v>
      </c>
      <c r="V1155" s="751">
        <v>2019</v>
      </c>
      <c r="W1155" s="222"/>
      <c r="X1155" s="186"/>
      <c r="Y1155" s="178" t="str">
        <f t="shared" si="60"/>
        <v/>
      </c>
      <c r="Z1155" s="178" t="str">
        <f t="shared" si="61"/>
        <v/>
      </c>
      <c r="AA1155" s="44"/>
      <c r="AB1155" s="65"/>
    </row>
    <row r="1156" spans="1:28" ht="25" hidden="1">
      <c r="A1156" s="751">
        <v>56847</v>
      </c>
      <c r="B1156" s="752" t="s">
        <v>35</v>
      </c>
      <c r="C1156" s="751" t="s">
        <v>2960</v>
      </c>
      <c r="D1156" s="752" t="s">
        <v>1775</v>
      </c>
      <c r="E1156" s="752" t="s">
        <v>1776</v>
      </c>
      <c r="F1156" s="751">
        <v>56067</v>
      </c>
      <c r="G1156" s="752" t="s">
        <v>43</v>
      </c>
      <c r="H1156" s="752" t="s">
        <v>1245</v>
      </c>
      <c r="I1156" s="752" t="s">
        <v>60</v>
      </c>
      <c r="J1156" s="751">
        <v>22</v>
      </c>
      <c r="K1156" s="751">
        <v>2</v>
      </c>
      <c r="L1156" s="752" t="s">
        <v>54</v>
      </c>
      <c r="M1156" s="752" t="s">
        <v>44</v>
      </c>
      <c r="N1156" s="752" t="s">
        <v>71</v>
      </c>
      <c r="O1156" s="752" t="s">
        <v>72</v>
      </c>
      <c r="P1156" s="752" t="s">
        <v>47</v>
      </c>
      <c r="Q1156" s="753">
        <v>343140</v>
      </c>
      <c r="R1156" s="753">
        <v>343140</v>
      </c>
      <c r="S1156" s="753">
        <v>3156889</v>
      </c>
      <c r="T1156" s="753">
        <v>3156889</v>
      </c>
      <c r="U1156" s="753">
        <v>268419.48</v>
      </c>
      <c r="V1156" s="751">
        <v>2019</v>
      </c>
      <c r="W1156" s="222"/>
      <c r="X1156" s="186"/>
      <c r="Y1156" s="178" t="str">
        <f t="shared" si="60"/>
        <v/>
      </c>
      <c r="Z1156" s="178" t="str">
        <f t="shared" si="61"/>
        <v/>
      </c>
      <c r="AA1156" s="44"/>
      <c r="AB1156" s="65"/>
    </row>
    <row r="1157" spans="1:28" hidden="1">
      <c r="A1157" s="751">
        <v>56857</v>
      </c>
      <c r="B1157" s="752" t="s">
        <v>35</v>
      </c>
      <c r="C1157" s="751" t="s">
        <v>2960</v>
      </c>
      <c r="D1157" s="752" t="s">
        <v>1264</v>
      </c>
      <c r="E1157" s="752" t="s">
        <v>1265</v>
      </c>
      <c r="F1157" s="751">
        <v>56072</v>
      </c>
      <c r="G1157" s="752" t="s">
        <v>59</v>
      </c>
      <c r="H1157" s="752" t="s">
        <v>1244</v>
      </c>
      <c r="I1157" s="752" t="s">
        <v>60</v>
      </c>
      <c r="J1157" s="751">
        <v>22</v>
      </c>
      <c r="K1157" s="751">
        <v>2</v>
      </c>
      <c r="L1157" s="752" t="s">
        <v>54</v>
      </c>
      <c r="M1157" s="752" t="s">
        <v>73</v>
      </c>
      <c r="N1157" s="752" t="s">
        <v>74</v>
      </c>
      <c r="O1157" s="752" t="s">
        <v>74</v>
      </c>
      <c r="P1157" s="752" t="s">
        <v>1238</v>
      </c>
      <c r="Q1157" s="753">
        <v>0</v>
      </c>
      <c r="R1157" s="753">
        <v>0</v>
      </c>
      <c r="S1157" s="753">
        <v>4628433</v>
      </c>
      <c r="T1157" s="753">
        <v>4628433</v>
      </c>
      <c r="U1157" s="753">
        <v>519815</v>
      </c>
      <c r="V1157" s="751">
        <v>2019</v>
      </c>
      <c r="W1157" s="222"/>
      <c r="X1157" s="186">
        <f>IF(OR(K1157&gt;3,T1157=0,NOT(U1157&gt;0)),"",T1157/U1157)</f>
        <v>8.9040004617027204</v>
      </c>
      <c r="Y1157" s="178" t="str">
        <f t="shared" si="60"/>
        <v/>
      </c>
      <c r="Z1157" s="178" t="str">
        <f t="shared" si="61"/>
        <v/>
      </c>
      <c r="AA1157" s="44"/>
      <c r="AB1157" s="65"/>
    </row>
    <row r="1158" spans="1:28" hidden="1">
      <c r="A1158" s="751">
        <v>56891</v>
      </c>
      <c r="B1158" s="752" t="s">
        <v>35</v>
      </c>
      <c r="C1158" s="751" t="s">
        <v>2960</v>
      </c>
      <c r="D1158" s="752" t="s">
        <v>1081</v>
      </c>
      <c r="E1158" s="752" t="s">
        <v>1945</v>
      </c>
      <c r="F1158" s="751">
        <v>57249</v>
      </c>
      <c r="G1158" s="752" t="s">
        <v>91</v>
      </c>
      <c r="H1158" s="752" t="s">
        <v>1245</v>
      </c>
      <c r="I1158" s="752" t="s">
        <v>60</v>
      </c>
      <c r="J1158" s="751">
        <v>22</v>
      </c>
      <c r="K1158" s="751">
        <v>2</v>
      </c>
      <c r="L1158" s="752" t="s">
        <v>54</v>
      </c>
      <c r="M1158" s="752" t="s">
        <v>53</v>
      </c>
      <c r="N1158" s="752" t="s">
        <v>65</v>
      </c>
      <c r="O1158" s="752" t="s">
        <v>66</v>
      </c>
      <c r="P1158" s="752" t="s">
        <v>1091</v>
      </c>
      <c r="Q1158" s="753">
        <v>257420</v>
      </c>
      <c r="R1158" s="753">
        <v>257420</v>
      </c>
      <c r="S1158" s="753">
        <v>114039</v>
      </c>
      <c r="T1158" s="753">
        <v>114039</v>
      </c>
      <c r="U1158" s="753">
        <v>10736</v>
      </c>
      <c r="V1158" s="751">
        <v>2019</v>
      </c>
      <c r="W1158" s="222"/>
      <c r="X1158" s="186"/>
      <c r="Y1158" s="178" t="str">
        <f t="shared" si="60"/>
        <v/>
      </c>
      <c r="Z1158" s="178" t="str">
        <f t="shared" si="61"/>
        <v/>
      </c>
      <c r="AA1158" s="44"/>
      <c r="AB1158" s="65"/>
    </row>
    <row r="1159" spans="1:28" hidden="1">
      <c r="A1159" s="751">
        <v>56901</v>
      </c>
      <c r="B1159" s="752" t="s">
        <v>35</v>
      </c>
      <c r="C1159" s="751" t="s">
        <v>2960</v>
      </c>
      <c r="D1159" s="752" t="s">
        <v>463</v>
      </c>
      <c r="E1159" s="752" t="s">
        <v>460</v>
      </c>
      <c r="F1159" s="751">
        <v>55868</v>
      </c>
      <c r="G1159" s="752" t="s">
        <v>59</v>
      </c>
      <c r="H1159" s="752" t="s">
        <v>1244</v>
      </c>
      <c r="I1159" s="752" t="s">
        <v>60</v>
      </c>
      <c r="J1159" s="751">
        <v>22</v>
      </c>
      <c r="K1159" s="751">
        <v>2</v>
      </c>
      <c r="L1159" s="752" t="s">
        <v>54</v>
      </c>
      <c r="M1159" s="752" t="s">
        <v>73</v>
      </c>
      <c r="N1159" s="752" t="s">
        <v>74</v>
      </c>
      <c r="O1159" s="752" t="s">
        <v>74</v>
      </c>
      <c r="P1159" s="752" t="s">
        <v>1238</v>
      </c>
      <c r="Q1159" s="753">
        <v>0</v>
      </c>
      <c r="R1159" s="753">
        <v>0</v>
      </c>
      <c r="S1159" s="753">
        <v>1527064</v>
      </c>
      <c r="T1159" s="753">
        <v>1527064</v>
      </c>
      <c r="U1159" s="753">
        <v>171503</v>
      </c>
      <c r="V1159" s="751">
        <v>2019</v>
      </c>
      <c r="W1159" s="222"/>
      <c r="X1159" s="186"/>
      <c r="Y1159" s="178" t="str">
        <f t="shared" ref="Y1159:Y1222" si="63">IF(AND($M1159=$Y$2,$N1159=$Y$3,NOT($Q1159=$R1159),NOT($U1159=0)),IF($K1159=5,$S1159/($U1159+(8/5)*$U1159),IF($K1159=7,$S1159/($U1159+(29/25)*$U1159),"")),"")</f>
        <v/>
      </c>
      <c r="Z1159" s="178" t="str">
        <f t="shared" ref="Z1159:Z1222" si="64">IF(AND($M1159=$Y$2,$N1159=$Y$4,NOT($Q1159=$R1159),NOT($U1159=0)),IF($K1159=5,$S1159/($U1159+(8/5)*$U1159),IF($K1159=7,$S1159/($U1159+(29/25)*$U1159),"")),"")</f>
        <v/>
      </c>
      <c r="AA1159" s="44"/>
      <c r="AB1159" s="65"/>
    </row>
    <row r="1160" spans="1:28" hidden="1">
      <c r="A1160" s="751">
        <v>56902</v>
      </c>
      <c r="B1160" s="752" t="s">
        <v>35</v>
      </c>
      <c r="C1160" s="751" t="s">
        <v>2960</v>
      </c>
      <c r="D1160" s="752" t="s">
        <v>464</v>
      </c>
      <c r="E1160" s="752" t="s">
        <v>460</v>
      </c>
      <c r="F1160" s="751">
        <v>55868</v>
      </c>
      <c r="G1160" s="752" t="s">
        <v>59</v>
      </c>
      <c r="H1160" s="752" t="s">
        <v>1244</v>
      </c>
      <c r="I1160" s="752" t="s">
        <v>60</v>
      </c>
      <c r="J1160" s="751">
        <v>22</v>
      </c>
      <c r="K1160" s="751">
        <v>2</v>
      </c>
      <c r="L1160" s="752" t="s">
        <v>54</v>
      </c>
      <c r="M1160" s="752" t="s">
        <v>73</v>
      </c>
      <c r="N1160" s="752" t="s">
        <v>74</v>
      </c>
      <c r="O1160" s="752" t="s">
        <v>74</v>
      </c>
      <c r="P1160" s="752" t="s">
        <v>1238</v>
      </c>
      <c r="Q1160" s="753">
        <v>0</v>
      </c>
      <c r="R1160" s="753">
        <v>0</v>
      </c>
      <c r="S1160" s="753">
        <v>2374242</v>
      </c>
      <c r="T1160" s="753">
        <v>2374242</v>
      </c>
      <c r="U1160" s="753">
        <v>266649</v>
      </c>
      <c r="V1160" s="751">
        <v>2019</v>
      </c>
      <c r="W1160" s="222"/>
      <c r="X1160" s="186"/>
      <c r="Y1160" s="178" t="str">
        <f t="shared" si="63"/>
        <v/>
      </c>
      <c r="Z1160" s="178" t="str">
        <f t="shared" si="64"/>
        <v/>
      </c>
      <c r="AA1160" s="44"/>
      <c r="AB1160" s="65"/>
    </row>
    <row r="1161" spans="1:28" hidden="1">
      <c r="A1161" s="751">
        <v>56904</v>
      </c>
      <c r="B1161" s="752" t="s">
        <v>35</v>
      </c>
      <c r="C1161" s="751" t="s">
        <v>2960</v>
      </c>
      <c r="D1161" s="752" t="s">
        <v>465</v>
      </c>
      <c r="E1161" s="752" t="s">
        <v>460</v>
      </c>
      <c r="F1161" s="751">
        <v>55868</v>
      </c>
      <c r="G1161" s="752" t="s">
        <v>59</v>
      </c>
      <c r="H1161" s="752" t="s">
        <v>1244</v>
      </c>
      <c r="I1161" s="752" t="s">
        <v>60</v>
      </c>
      <c r="J1161" s="751">
        <v>22</v>
      </c>
      <c r="K1161" s="751">
        <v>2</v>
      </c>
      <c r="L1161" s="752" t="s">
        <v>54</v>
      </c>
      <c r="M1161" s="752" t="s">
        <v>73</v>
      </c>
      <c r="N1161" s="752" t="s">
        <v>74</v>
      </c>
      <c r="O1161" s="752" t="s">
        <v>74</v>
      </c>
      <c r="P1161" s="752" t="s">
        <v>1238</v>
      </c>
      <c r="Q1161" s="753">
        <v>0</v>
      </c>
      <c r="R1161" s="753">
        <v>0</v>
      </c>
      <c r="S1161" s="753">
        <v>1755006</v>
      </c>
      <c r="T1161" s="753">
        <v>1755006</v>
      </c>
      <c r="U1161" s="753">
        <v>197103</v>
      </c>
      <c r="V1161" s="751">
        <v>2019</v>
      </c>
      <c r="W1161" s="222"/>
      <c r="X1161" s="186"/>
      <c r="Y1161" s="178" t="str">
        <f t="shared" si="63"/>
        <v/>
      </c>
      <c r="Z1161" s="178" t="str">
        <f t="shared" si="64"/>
        <v/>
      </c>
      <c r="AA1161" s="44"/>
      <c r="AB1161" s="65"/>
    </row>
    <row r="1162" spans="1:28" ht="25" hidden="1">
      <c r="A1162" s="751">
        <v>56928</v>
      </c>
      <c r="B1162" s="752" t="s">
        <v>56</v>
      </c>
      <c r="C1162" s="751" t="s">
        <v>2960</v>
      </c>
      <c r="D1162" s="752" t="s">
        <v>1124</v>
      </c>
      <c r="E1162" s="752" t="s">
        <v>1082</v>
      </c>
      <c r="F1162" s="751">
        <v>56143</v>
      </c>
      <c r="G1162" s="752" t="s">
        <v>43</v>
      </c>
      <c r="H1162" s="752" t="s">
        <v>1245</v>
      </c>
      <c r="I1162" s="752" t="s">
        <v>60</v>
      </c>
      <c r="J1162" s="751">
        <v>611</v>
      </c>
      <c r="K1162" s="751">
        <v>5</v>
      </c>
      <c r="L1162" s="752" t="s">
        <v>423</v>
      </c>
      <c r="M1162" s="752" t="s">
        <v>52</v>
      </c>
      <c r="N1162" s="752" t="s">
        <v>41</v>
      </c>
      <c r="O1162" s="752" t="s">
        <v>41</v>
      </c>
      <c r="P1162" s="752" t="s">
        <v>1091</v>
      </c>
      <c r="Q1162" s="753">
        <v>216009</v>
      </c>
      <c r="R1162" s="753">
        <v>153798</v>
      </c>
      <c r="S1162" s="753">
        <v>222273</v>
      </c>
      <c r="T1162" s="753">
        <v>158258</v>
      </c>
      <c r="U1162" s="753">
        <v>23435</v>
      </c>
      <c r="V1162" s="751">
        <v>2019</v>
      </c>
      <c r="W1162" s="222"/>
      <c r="X1162" s="186"/>
      <c r="Y1162" s="178">
        <f t="shared" si="63"/>
        <v>3.6479460373209038</v>
      </c>
      <c r="Z1162" s="178" t="str">
        <f t="shared" si="64"/>
        <v/>
      </c>
      <c r="AA1162" s="44"/>
      <c r="AB1162" s="65"/>
    </row>
    <row r="1163" spans="1:28" ht="25" hidden="1">
      <c r="A1163" s="751">
        <v>56936</v>
      </c>
      <c r="B1163" s="752" t="s">
        <v>35</v>
      </c>
      <c r="C1163" s="751" t="s">
        <v>2960</v>
      </c>
      <c r="D1163" s="752" t="s">
        <v>1083</v>
      </c>
      <c r="E1163" s="752" t="s">
        <v>123</v>
      </c>
      <c r="F1163" s="751">
        <v>5914</v>
      </c>
      <c r="G1163" s="752" t="s">
        <v>59</v>
      </c>
      <c r="H1163" s="752" t="s">
        <v>1244</v>
      </c>
      <c r="I1163" s="752" t="s">
        <v>60</v>
      </c>
      <c r="J1163" s="751">
        <v>322122</v>
      </c>
      <c r="K1163" s="751">
        <v>6</v>
      </c>
      <c r="L1163" s="752" t="s">
        <v>420</v>
      </c>
      <c r="M1163" s="752" t="s">
        <v>37</v>
      </c>
      <c r="N1163" s="752" t="s">
        <v>38</v>
      </c>
      <c r="O1163" s="752" t="s">
        <v>39</v>
      </c>
      <c r="P1163" s="752" t="s">
        <v>1238</v>
      </c>
      <c r="Q1163" s="753">
        <v>0</v>
      </c>
      <c r="R1163" s="753">
        <v>0</v>
      </c>
      <c r="S1163" s="753">
        <v>459250</v>
      </c>
      <c r="T1163" s="753">
        <v>459250</v>
      </c>
      <c r="U1163" s="753">
        <v>51578</v>
      </c>
      <c r="V1163" s="751">
        <v>2019</v>
      </c>
      <c r="W1163" s="222"/>
      <c r="X1163" s="186"/>
      <c r="Y1163" s="178" t="str">
        <f t="shared" si="63"/>
        <v/>
      </c>
      <c r="Z1163" s="178" t="str">
        <f t="shared" si="64"/>
        <v/>
      </c>
      <c r="AA1163" s="44"/>
      <c r="AB1163" s="65"/>
    </row>
    <row r="1164" spans="1:28" hidden="1">
      <c r="A1164" s="751">
        <v>56940</v>
      </c>
      <c r="B1164" s="752" t="s">
        <v>35</v>
      </c>
      <c r="C1164" s="751" t="s">
        <v>2960</v>
      </c>
      <c r="D1164" s="752" t="s">
        <v>2466</v>
      </c>
      <c r="E1164" s="752" t="s">
        <v>2467</v>
      </c>
      <c r="F1164" s="751">
        <v>56204</v>
      </c>
      <c r="G1164" s="752" t="s">
        <v>59</v>
      </c>
      <c r="H1164" s="752" t="s">
        <v>1244</v>
      </c>
      <c r="I1164" s="752" t="s">
        <v>60</v>
      </c>
      <c r="J1164" s="751">
        <v>22</v>
      </c>
      <c r="K1164" s="751">
        <v>2</v>
      </c>
      <c r="L1164" s="752" t="s">
        <v>54</v>
      </c>
      <c r="M1164" s="752" t="s">
        <v>40</v>
      </c>
      <c r="N1164" s="752" t="s">
        <v>48</v>
      </c>
      <c r="O1164" s="752" t="s">
        <v>48</v>
      </c>
      <c r="P1164" s="752" t="s">
        <v>49</v>
      </c>
      <c r="Q1164" s="753">
        <v>0</v>
      </c>
      <c r="R1164" s="753">
        <v>0</v>
      </c>
      <c r="S1164" s="753">
        <v>0</v>
      </c>
      <c r="T1164" s="753">
        <v>0</v>
      </c>
      <c r="U1164" s="753">
        <v>3409.7</v>
      </c>
      <c r="V1164" s="751">
        <v>2019</v>
      </c>
      <c r="W1164" s="222" t="s">
        <v>2666</v>
      </c>
      <c r="X1164" s="186"/>
      <c r="Y1164" s="178" t="str">
        <f t="shared" si="63"/>
        <v/>
      </c>
      <c r="Z1164" s="178" t="str">
        <f t="shared" si="64"/>
        <v/>
      </c>
      <c r="AA1164" s="44"/>
      <c r="AB1164" s="65"/>
    </row>
    <row r="1165" spans="1:28" hidden="1">
      <c r="A1165" s="751">
        <v>56940</v>
      </c>
      <c r="B1165" s="752" t="s">
        <v>35</v>
      </c>
      <c r="C1165" s="751" t="s">
        <v>2960</v>
      </c>
      <c r="D1165" s="752" t="s">
        <v>2466</v>
      </c>
      <c r="E1165" s="752" t="s">
        <v>2467</v>
      </c>
      <c r="F1165" s="751">
        <v>56204</v>
      </c>
      <c r="G1165" s="752" t="s">
        <v>59</v>
      </c>
      <c r="H1165" s="752" t="s">
        <v>1244</v>
      </c>
      <c r="I1165" s="752" t="s">
        <v>60</v>
      </c>
      <c r="J1165" s="751">
        <v>22</v>
      </c>
      <c r="K1165" s="751">
        <v>2</v>
      </c>
      <c r="L1165" s="752" t="s">
        <v>54</v>
      </c>
      <c r="M1165" s="752" t="s">
        <v>40</v>
      </c>
      <c r="N1165" s="752" t="s">
        <v>41</v>
      </c>
      <c r="O1165" s="752" t="s">
        <v>41</v>
      </c>
      <c r="P1165" s="752" t="s">
        <v>1091</v>
      </c>
      <c r="Q1165" s="753">
        <v>1162858</v>
      </c>
      <c r="R1165" s="753">
        <v>1162858</v>
      </c>
      <c r="S1165" s="753">
        <v>1193671</v>
      </c>
      <c r="T1165" s="753">
        <v>1193671</v>
      </c>
      <c r="U1165" s="753">
        <v>1539644.3</v>
      </c>
      <c r="V1165" s="751">
        <v>2019</v>
      </c>
      <c r="W1165" s="222" t="s">
        <v>2666</v>
      </c>
      <c r="X1165" s="186"/>
      <c r="Y1165" s="178" t="str">
        <f t="shared" si="63"/>
        <v/>
      </c>
      <c r="Z1165" s="178" t="str">
        <f t="shared" si="64"/>
        <v/>
      </c>
      <c r="AA1165" s="44"/>
      <c r="AB1165" s="65"/>
    </row>
    <row r="1166" spans="1:28" hidden="1">
      <c r="A1166" s="751">
        <v>56940</v>
      </c>
      <c r="B1166" s="752" t="s">
        <v>35</v>
      </c>
      <c r="C1166" s="751" t="s">
        <v>2960</v>
      </c>
      <c r="D1166" s="752" t="s">
        <v>2466</v>
      </c>
      <c r="E1166" s="752" t="s">
        <v>2467</v>
      </c>
      <c r="F1166" s="751">
        <v>56204</v>
      </c>
      <c r="G1166" s="752" t="s">
        <v>59</v>
      </c>
      <c r="H1166" s="752" t="s">
        <v>1244</v>
      </c>
      <c r="I1166" s="752" t="s">
        <v>60</v>
      </c>
      <c r="J1166" s="751">
        <v>22</v>
      </c>
      <c r="K1166" s="751">
        <v>2</v>
      </c>
      <c r="L1166" s="752" t="s">
        <v>54</v>
      </c>
      <c r="M1166" s="752" t="s">
        <v>43</v>
      </c>
      <c r="N1166" s="752" t="s">
        <v>48</v>
      </c>
      <c r="O1166" s="752" t="s">
        <v>48</v>
      </c>
      <c r="P1166" s="752" t="s">
        <v>49</v>
      </c>
      <c r="Q1166" s="753">
        <v>11146</v>
      </c>
      <c r="R1166" s="753">
        <v>11146</v>
      </c>
      <c r="S1166" s="753">
        <v>64424</v>
      </c>
      <c r="T1166" s="753">
        <v>64424</v>
      </c>
      <c r="U1166" s="753">
        <v>6272.2370000000001</v>
      </c>
      <c r="V1166" s="751">
        <v>2019</v>
      </c>
      <c r="W1166" s="222" t="s">
        <v>2666</v>
      </c>
      <c r="X1166" s="186">
        <f>IF(OR(K1166&gt;3,T1166=0,NOT(U1166&gt;0)),"",T1166/U1166)</f>
        <v>10.271295552129169</v>
      </c>
      <c r="Y1166" s="178" t="str">
        <f t="shared" si="63"/>
        <v/>
      </c>
      <c r="Z1166" s="178" t="str">
        <f t="shared" si="64"/>
        <v/>
      </c>
      <c r="AA1166" s="44"/>
      <c r="AB1166" s="65"/>
    </row>
    <row r="1167" spans="1:28" hidden="1">
      <c r="A1167" s="751">
        <v>56940</v>
      </c>
      <c r="B1167" s="752" t="s">
        <v>35</v>
      </c>
      <c r="C1167" s="751" t="s">
        <v>2960</v>
      </c>
      <c r="D1167" s="752" t="s">
        <v>2466</v>
      </c>
      <c r="E1167" s="752" t="s">
        <v>2467</v>
      </c>
      <c r="F1167" s="751">
        <v>56204</v>
      </c>
      <c r="G1167" s="752" t="s">
        <v>59</v>
      </c>
      <c r="H1167" s="752" t="s">
        <v>1244</v>
      </c>
      <c r="I1167" s="752" t="s">
        <v>60</v>
      </c>
      <c r="J1167" s="751">
        <v>22</v>
      </c>
      <c r="K1167" s="751">
        <v>2</v>
      </c>
      <c r="L1167" s="752" t="s">
        <v>54</v>
      </c>
      <c r="M1167" s="752" t="s">
        <v>43</v>
      </c>
      <c r="N1167" s="752" t="s">
        <v>41</v>
      </c>
      <c r="O1167" s="752" t="s">
        <v>41</v>
      </c>
      <c r="P1167" s="752" t="s">
        <v>1091</v>
      </c>
      <c r="Q1167" s="753">
        <v>26800363</v>
      </c>
      <c r="R1167" s="753">
        <v>26800363</v>
      </c>
      <c r="S1167" s="753">
        <v>27505863</v>
      </c>
      <c r="T1167" s="753">
        <v>27505863</v>
      </c>
      <c r="U1167" s="753">
        <v>2550950.7999999998</v>
      </c>
      <c r="V1167" s="751">
        <v>2019</v>
      </c>
      <c r="W1167" s="222" t="s">
        <v>2666</v>
      </c>
      <c r="X1167" s="186">
        <f>IF(OR(K1167&gt;3,T1167=0,NOT(U1167&gt;0)),"",T1167/U1167)</f>
        <v>10.782592514132379</v>
      </c>
      <c r="Y1167" s="178" t="str">
        <f t="shared" si="63"/>
        <v/>
      </c>
      <c r="Z1167" s="178" t="str">
        <f t="shared" si="64"/>
        <v/>
      </c>
      <c r="AA1167" s="44"/>
      <c r="AB1167" s="65"/>
    </row>
    <row r="1168" spans="1:28" hidden="1">
      <c r="A1168" s="751">
        <v>56953</v>
      </c>
      <c r="B1168" s="752" t="s">
        <v>35</v>
      </c>
      <c r="C1168" s="751" t="s">
        <v>2960</v>
      </c>
      <c r="D1168" s="752" t="s">
        <v>466</v>
      </c>
      <c r="E1168" s="752" t="s">
        <v>467</v>
      </c>
      <c r="F1168" s="751">
        <v>49893</v>
      </c>
      <c r="G1168" s="752" t="s">
        <v>59</v>
      </c>
      <c r="H1168" s="752" t="s">
        <v>1244</v>
      </c>
      <c r="I1168" s="752" t="s">
        <v>60</v>
      </c>
      <c r="J1168" s="751">
        <v>22</v>
      </c>
      <c r="K1168" s="751">
        <v>2</v>
      </c>
      <c r="L1168" s="752" t="s">
        <v>54</v>
      </c>
      <c r="M1168" s="752" t="s">
        <v>73</v>
      </c>
      <c r="N1168" s="752" t="s">
        <v>74</v>
      </c>
      <c r="O1168" s="752" t="s">
        <v>74</v>
      </c>
      <c r="P1168" s="752" t="s">
        <v>1238</v>
      </c>
      <c r="Q1168" s="753">
        <v>0</v>
      </c>
      <c r="R1168" s="753">
        <v>0</v>
      </c>
      <c r="S1168" s="753">
        <v>2271339</v>
      </c>
      <c r="T1168" s="753">
        <v>2271339</v>
      </c>
      <c r="U1168" s="753">
        <v>255092</v>
      </c>
      <c r="V1168" s="751">
        <v>2019</v>
      </c>
      <c r="W1168" s="222"/>
      <c r="X1168" s="186">
        <f>IF(OR(K1168&gt;3,T1168=0,NOT(U1168&gt;0)),"",T1168/U1168)</f>
        <v>8.9039993414140781</v>
      </c>
      <c r="Y1168" s="178" t="str">
        <f t="shared" si="63"/>
        <v/>
      </c>
      <c r="Z1168" s="178" t="str">
        <f t="shared" si="64"/>
        <v/>
      </c>
      <c r="AA1168" s="44"/>
      <c r="AB1168" s="65"/>
    </row>
    <row r="1169" spans="1:28" hidden="1">
      <c r="A1169" s="751">
        <v>56958</v>
      </c>
      <c r="B1169" s="752" t="s">
        <v>35</v>
      </c>
      <c r="C1169" s="751" t="s">
        <v>2960</v>
      </c>
      <c r="D1169" s="752" t="s">
        <v>1084</v>
      </c>
      <c r="E1169" s="752" t="s">
        <v>1069</v>
      </c>
      <c r="F1169" s="751">
        <v>50158</v>
      </c>
      <c r="G1169" s="752" t="s">
        <v>59</v>
      </c>
      <c r="H1169" s="752" t="s">
        <v>1244</v>
      </c>
      <c r="I1169" s="752" t="s">
        <v>60</v>
      </c>
      <c r="J1169" s="751">
        <v>22</v>
      </c>
      <c r="K1169" s="751">
        <v>2</v>
      </c>
      <c r="L1169" s="752" t="s">
        <v>54</v>
      </c>
      <c r="M1169" s="752" t="s">
        <v>53</v>
      </c>
      <c r="N1169" s="752" t="s">
        <v>65</v>
      </c>
      <c r="O1169" s="752" t="s">
        <v>66</v>
      </c>
      <c r="P1169" s="752" t="s">
        <v>1091</v>
      </c>
      <c r="Q1169" s="753">
        <v>787977</v>
      </c>
      <c r="R1169" s="753">
        <v>787977</v>
      </c>
      <c r="S1169" s="753">
        <v>416839</v>
      </c>
      <c r="T1169" s="753">
        <v>416839</v>
      </c>
      <c r="U1169" s="753">
        <v>35548</v>
      </c>
      <c r="V1169" s="751">
        <v>2019</v>
      </c>
      <c r="W1169" s="222"/>
      <c r="X1169" s="186"/>
      <c r="Y1169" s="178" t="str">
        <f t="shared" si="63"/>
        <v/>
      </c>
      <c r="Z1169" s="178" t="str">
        <f t="shared" si="64"/>
        <v/>
      </c>
      <c r="AA1169" s="44"/>
      <c r="AB1169" s="65"/>
    </row>
    <row r="1170" spans="1:28" hidden="1">
      <c r="A1170" s="751">
        <v>56986</v>
      </c>
      <c r="B1170" s="752" t="s">
        <v>35</v>
      </c>
      <c r="C1170" s="751" t="s">
        <v>2960</v>
      </c>
      <c r="D1170" s="752" t="s">
        <v>1085</v>
      </c>
      <c r="E1170" s="752" t="s">
        <v>1069</v>
      </c>
      <c r="F1170" s="751">
        <v>50158</v>
      </c>
      <c r="G1170" s="752" t="s">
        <v>59</v>
      </c>
      <c r="H1170" s="752" t="s">
        <v>1244</v>
      </c>
      <c r="I1170" s="752" t="s">
        <v>60</v>
      </c>
      <c r="J1170" s="751">
        <v>22</v>
      </c>
      <c r="K1170" s="751">
        <v>2</v>
      </c>
      <c r="L1170" s="752" t="s">
        <v>54</v>
      </c>
      <c r="M1170" s="752" t="s">
        <v>53</v>
      </c>
      <c r="N1170" s="752" t="s">
        <v>65</v>
      </c>
      <c r="O1170" s="752" t="s">
        <v>66</v>
      </c>
      <c r="P1170" s="752" t="s">
        <v>1091</v>
      </c>
      <c r="Q1170" s="753">
        <v>808262</v>
      </c>
      <c r="R1170" s="753">
        <v>808262</v>
      </c>
      <c r="S1170" s="753">
        <v>387966</v>
      </c>
      <c r="T1170" s="753">
        <v>387966</v>
      </c>
      <c r="U1170" s="753">
        <v>37071</v>
      </c>
      <c r="V1170" s="751">
        <v>2019</v>
      </c>
      <c r="W1170" s="222"/>
      <c r="X1170" s="186"/>
      <c r="Y1170" s="178" t="str">
        <f t="shared" si="63"/>
        <v/>
      </c>
      <c r="Z1170" s="178" t="str">
        <f t="shared" si="64"/>
        <v/>
      </c>
      <c r="AA1170" s="44"/>
      <c r="AB1170" s="65"/>
    </row>
    <row r="1171" spans="1:28" s="154" customFormat="1" hidden="1">
      <c r="A1171" s="751">
        <v>56987</v>
      </c>
      <c r="B1171" s="752" t="s">
        <v>35</v>
      </c>
      <c r="C1171" s="751" t="s">
        <v>2960</v>
      </c>
      <c r="D1171" s="752" t="s">
        <v>1086</v>
      </c>
      <c r="E1171" s="752" t="s">
        <v>1069</v>
      </c>
      <c r="F1171" s="751">
        <v>50158</v>
      </c>
      <c r="G1171" s="752" t="s">
        <v>59</v>
      </c>
      <c r="H1171" s="752" t="s">
        <v>1244</v>
      </c>
      <c r="I1171" s="752" t="s">
        <v>60</v>
      </c>
      <c r="J1171" s="751">
        <v>22</v>
      </c>
      <c r="K1171" s="751">
        <v>2</v>
      </c>
      <c r="L1171" s="752" t="s">
        <v>54</v>
      </c>
      <c r="M1171" s="752" t="s">
        <v>53</v>
      </c>
      <c r="N1171" s="752" t="s">
        <v>65</v>
      </c>
      <c r="O1171" s="752" t="s">
        <v>66</v>
      </c>
      <c r="P1171" s="752" t="s">
        <v>1091</v>
      </c>
      <c r="Q1171" s="753">
        <v>808262</v>
      </c>
      <c r="R1171" s="753">
        <v>808262</v>
      </c>
      <c r="S1171" s="753">
        <v>387966</v>
      </c>
      <c r="T1171" s="753">
        <v>387966</v>
      </c>
      <c r="U1171" s="753">
        <v>37071</v>
      </c>
      <c r="V1171" s="751">
        <v>2019</v>
      </c>
      <c r="W1171" s="222"/>
      <c r="X1171" s="186"/>
      <c r="Y1171" s="178" t="str">
        <f t="shared" si="63"/>
        <v/>
      </c>
      <c r="Z1171" s="178" t="str">
        <f t="shared" si="64"/>
        <v/>
      </c>
      <c r="AA1171" s="44"/>
      <c r="AB1171" s="179"/>
    </row>
    <row r="1172" spans="1:28" hidden="1">
      <c r="A1172" s="751">
        <v>56989</v>
      </c>
      <c r="B1172" s="752" t="s">
        <v>35</v>
      </c>
      <c r="C1172" s="751" t="s">
        <v>2960</v>
      </c>
      <c r="D1172" s="752" t="s">
        <v>1125</v>
      </c>
      <c r="E1172" s="752" t="s">
        <v>1671</v>
      </c>
      <c r="F1172" s="751">
        <v>59155</v>
      </c>
      <c r="G1172" s="752" t="s">
        <v>92</v>
      </c>
      <c r="H1172" s="752" t="s">
        <v>1245</v>
      </c>
      <c r="I1172" s="752" t="s">
        <v>60</v>
      </c>
      <c r="J1172" s="751">
        <v>22</v>
      </c>
      <c r="K1172" s="751">
        <v>2</v>
      </c>
      <c r="L1172" s="752" t="s">
        <v>54</v>
      </c>
      <c r="M1172" s="752" t="s">
        <v>73</v>
      </c>
      <c r="N1172" s="752" t="s">
        <v>74</v>
      </c>
      <c r="O1172" s="752" t="s">
        <v>74</v>
      </c>
      <c r="P1172" s="752" t="s">
        <v>1238</v>
      </c>
      <c r="Q1172" s="753">
        <v>0</v>
      </c>
      <c r="R1172" s="753">
        <v>0</v>
      </c>
      <c r="S1172" s="753">
        <v>1060020</v>
      </c>
      <c r="T1172" s="753">
        <v>1060020</v>
      </c>
      <c r="U1172" s="753">
        <v>119050</v>
      </c>
      <c r="V1172" s="751">
        <v>2019</v>
      </c>
      <c r="W1172" s="222"/>
      <c r="X1172" s="186"/>
      <c r="Y1172" s="178" t="str">
        <f t="shared" si="63"/>
        <v/>
      </c>
      <c r="Z1172" s="178" t="str">
        <f t="shared" si="64"/>
        <v/>
      </c>
      <c r="AA1172" s="44"/>
      <c r="AB1172" s="65"/>
    </row>
    <row r="1173" spans="1:28" hidden="1">
      <c r="A1173" s="751">
        <v>56990</v>
      </c>
      <c r="B1173" s="752" t="s">
        <v>35</v>
      </c>
      <c r="C1173" s="751" t="s">
        <v>2960</v>
      </c>
      <c r="D1173" s="752" t="s">
        <v>1184</v>
      </c>
      <c r="E1173" s="752" t="s">
        <v>1671</v>
      </c>
      <c r="F1173" s="751">
        <v>59155</v>
      </c>
      <c r="G1173" s="752" t="s">
        <v>92</v>
      </c>
      <c r="H1173" s="752" t="s">
        <v>1245</v>
      </c>
      <c r="I1173" s="752" t="s">
        <v>60</v>
      </c>
      <c r="J1173" s="751">
        <v>22</v>
      </c>
      <c r="K1173" s="751">
        <v>2</v>
      </c>
      <c r="L1173" s="752" t="s">
        <v>54</v>
      </c>
      <c r="M1173" s="752" t="s">
        <v>73</v>
      </c>
      <c r="N1173" s="752" t="s">
        <v>74</v>
      </c>
      <c r="O1173" s="752" t="s">
        <v>74</v>
      </c>
      <c r="P1173" s="752" t="s">
        <v>1238</v>
      </c>
      <c r="Q1173" s="753">
        <v>0</v>
      </c>
      <c r="R1173" s="753">
        <v>0</v>
      </c>
      <c r="S1173" s="753">
        <v>1379781</v>
      </c>
      <c r="T1173" s="753">
        <v>1379781</v>
      </c>
      <c r="U1173" s="753">
        <v>154962</v>
      </c>
      <c r="V1173" s="751">
        <v>2019</v>
      </c>
      <c r="W1173" s="222"/>
      <c r="X1173" s="186">
        <f>IF(OR(K1173&gt;3,T1173=0,NOT(U1173&gt;0)),"",T1173/U1173)</f>
        <v>8.9039958183296548</v>
      </c>
      <c r="Y1173" s="178" t="str">
        <f t="shared" si="63"/>
        <v/>
      </c>
      <c r="Z1173" s="178" t="str">
        <f t="shared" si="64"/>
        <v/>
      </c>
      <c r="AA1173" s="44"/>
      <c r="AB1173" s="65"/>
    </row>
    <row r="1174" spans="1:28" hidden="1">
      <c r="A1174" s="751">
        <v>56991</v>
      </c>
      <c r="B1174" s="752" t="s">
        <v>35</v>
      </c>
      <c r="C1174" s="751" t="s">
        <v>2960</v>
      </c>
      <c r="D1174" s="752" t="s">
        <v>1126</v>
      </c>
      <c r="E1174" s="752" t="s">
        <v>1671</v>
      </c>
      <c r="F1174" s="751">
        <v>59155</v>
      </c>
      <c r="G1174" s="752" t="s">
        <v>92</v>
      </c>
      <c r="H1174" s="752" t="s">
        <v>1245</v>
      </c>
      <c r="I1174" s="752" t="s">
        <v>60</v>
      </c>
      <c r="J1174" s="751">
        <v>22</v>
      </c>
      <c r="K1174" s="751">
        <v>2</v>
      </c>
      <c r="L1174" s="752" t="s">
        <v>54</v>
      </c>
      <c r="M1174" s="752" t="s">
        <v>73</v>
      </c>
      <c r="N1174" s="752" t="s">
        <v>74</v>
      </c>
      <c r="O1174" s="752" t="s">
        <v>74</v>
      </c>
      <c r="P1174" s="752" t="s">
        <v>1238</v>
      </c>
      <c r="Q1174" s="753">
        <v>0</v>
      </c>
      <c r="R1174" s="753">
        <v>0</v>
      </c>
      <c r="S1174" s="753">
        <v>504288</v>
      </c>
      <c r="T1174" s="753">
        <v>504288</v>
      </c>
      <c r="U1174" s="753">
        <v>56636</v>
      </c>
      <c r="V1174" s="751">
        <v>2019</v>
      </c>
      <c r="W1174" s="222"/>
      <c r="X1174" s="186"/>
      <c r="Y1174" s="178" t="str">
        <f t="shared" si="63"/>
        <v/>
      </c>
      <c r="Z1174" s="178" t="str">
        <f t="shared" si="64"/>
        <v/>
      </c>
      <c r="AA1174" s="44"/>
      <c r="AB1174" s="65"/>
    </row>
    <row r="1175" spans="1:28" hidden="1">
      <c r="A1175" s="751">
        <v>57002</v>
      </c>
      <c r="B1175" s="752" t="s">
        <v>35</v>
      </c>
      <c r="C1175" s="751" t="s">
        <v>2960</v>
      </c>
      <c r="D1175" s="752" t="s">
        <v>1947</v>
      </c>
      <c r="E1175" s="752" t="s">
        <v>2031</v>
      </c>
      <c r="F1175" s="751">
        <v>60453</v>
      </c>
      <c r="G1175" s="752" t="s">
        <v>92</v>
      </c>
      <c r="H1175" s="752" t="s">
        <v>1245</v>
      </c>
      <c r="I1175" s="752" t="s">
        <v>60</v>
      </c>
      <c r="J1175" s="751">
        <v>22</v>
      </c>
      <c r="K1175" s="751">
        <v>2</v>
      </c>
      <c r="L1175" s="752" t="s">
        <v>54</v>
      </c>
      <c r="M1175" s="752" t="s">
        <v>73</v>
      </c>
      <c r="N1175" s="752" t="s">
        <v>74</v>
      </c>
      <c r="O1175" s="752" t="s">
        <v>74</v>
      </c>
      <c r="P1175" s="752" t="s">
        <v>1238</v>
      </c>
      <c r="Q1175" s="753">
        <v>0</v>
      </c>
      <c r="R1175" s="753">
        <v>0</v>
      </c>
      <c r="S1175" s="753">
        <v>3500261</v>
      </c>
      <c r="T1175" s="753">
        <v>3500261</v>
      </c>
      <c r="U1175" s="753">
        <v>393111</v>
      </c>
      <c r="V1175" s="751">
        <v>2019</v>
      </c>
      <c r="W1175" s="222"/>
      <c r="X1175" s="186"/>
      <c r="Y1175" s="178" t="str">
        <f t="shared" si="63"/>
        <v/>
      </c>
      <c r="Z1175" s="178" t="str">
        <f t="shared" si="64"/>
        <v/>
      </c>
      <c r="AA1175" s="44"/>
      <c r="AB1175" s="65"/>
    </row>
    <row r="1176" spans="1:28" hidden="1">
      <c r="A1176" s="751">
        <v>57003</v>
      </c>
      <c r="B1176" s="752" t="s">
        <v>35</v>
      </c>
      <c r="C1176" s="751" t="s">
        <v>2960</v>
      </c>
      <c r="D1176" s="752" t="s">
        <v>1127</v>
      </c>
      <c r="E1176" s="752" t="s">
        <v>1069</v>
      </c>
      <c r="F1176" s="751">
        <v>50158</v>
      </c>
      <c r="G1176" s="752" t="s">
        <v>59</v>
      </c>
      <c r="H1176" s="752" t="s">
        <v>1244</v>
      </c>
      <c r="I1176" s="752" t="s">
        <v>60</v>
      </c>
      <c r="J1176" s="751">
        <v>22</v>
      </c>
      <c r="K1176" s="751">
        <v>2</v>
      </c>
      <c r="L1176" s="752" t="s">
        <v>54</v>
      </c>
      <c r="M1176" s="752" t="s">
        <v>53</v>
      </c>
      <c r="N1176" s="752" t="s">
        <v>65</v>
      </c>
      <c r="O1176" s="752" t="s">
        <v>66</v>
      </c>
      <c r="P1176" s="752" t="s">
        <v>1091</v>
      </c>
      <c r="Q1176" s="753">
        <v>280093</v>
      </c>
      <c r="R1176" s="753">
        <v>280093</v>
      </c>
      <c r="S1176" s="753">
        <v>147608</v>
      </c>
      <c r="T1176" s="753">
        <v>147608</v>
      </c>
      <c r="U1176" s="753">
        <v>12899</v>
      </c>
      <c r="V1176" s="751">
        <v>2019</v>
      </c>
      <c r="W1176" s="222"/>
      <c r="X1176" s="186"/>
      <c r="Y1176" s="178" t="str">
        <f t="shared" si="63"/>
        <v/>
      </c>
      <c r="Z1176" s="178" t="str">
        <f t="shared" si="64"/>
        <v/>
      </c>
      <c r="AA1176" s="44"/>
      <c r="AB1176" s="65"/>
    </row>
    <row r="1177" spans="1:28" ht="25" hidden="1">
      <c r="A1177" s="751">
        <v>57016</v>
      </c>
      <c r="B1177" s="752" t="s">
        <v>35</v>
      </c>
      <c r="C1177" s="751" t="s">
        <v>2960</v>
      </c>
      <c r="D1177" s="752" t="s">
        <v>1128</v>
      </c>
      <c r="E1177" s="752" t="s">
        <v>945</v>
      </c>
      <c r="F1177" s="751">
        <v>54842</v>
      </c>
      <c r="G1177" s="752" t="s">
        <v>92</v>
      </c>
      <c r="H1177" s="752" t="s">
        <v>1245</v>
      </c>
      <c r="I1177" s="752" t="s">
        <v>60</v>
      </c>
      <c r="J1177" s="751">
        <v>22</v>
      </c>
      <c r="K1177" s="751">
        <v>2</v>
      </c>
      <c r="L1177" s="752" t="s">
        <v>54</v>
      </c>
      <c r="M1177" s="752" t="s">
        <v>53</v>
      </c>
      <c r="N1177" s="752" t="s">
        <v>65</v>
      </c>
      <c r="O1177" s="752" t="s">
        <v>66</v>
      </c>
      <c r="P1177" s="752" t="s">
        <v>1091</v>
      </c>
      <c r="Q1177" s="753">
        <v>485734</v>
      </c>
      <c r="R1177" s="753">
        <v>485734</v>
      </c>
      <c r="S1177" s="753">
        <v>257925</v>
      </c>
      <c r="T1177" s="753">
        <v>257925</v>
      </c>
      <c r="U1177" s="753">
        <v>23744</v>
      </c>
      <c r="V1177" s="751">
        <v>2019</v>
      </c>
      <c r="W1177" s="222"/>
      <c r="X1177" s="186"/>
      <c r="Y1177" s="178" t="str">
        <f t="shared" si="63"/>
        <v/>
      </c>
      <c r="Z1177" s="178" t="str">
        <f t="shared" si="64"/>
        <v/>
      </c>
      <c r="AA1177" s="44"/>
      <c r="AB1177" s="65"/>
    </row>
    <row r="1178" spans="1:28" ht="12.75" hidden="1" customHeight="1">
      <c r="A1178" s="751">
        <v>57021</v>
      </c>
      <c r="B1178" s="752" t="s">
        <v>35</v>
      </c>
      <c r="C1178" s="751" t="s">
        <v>2960</v>
      </c>
      <c r="D1178" s="752" t="s">
        <v>1129</v>
      </c>
      <c r="E1178" s="752" t="s">
        <v>945</v>
      </c>
      <c r="F1178" s="751">
        <v>54842</v>
      </c>
      <c r="G1178" s="752" t="s">
        <v>59</v>
      </c>
      <c r="H1178" s="752" t="s">
        <v>1244</v>
      </c>
      <c r="I1178" s="752" t="s">
        <v>60</v>
      </c>
      <c r="J1178" s="751">
        <v>22</v>
      </c>
      <c r="K1178" s="751">
        <v>2</v>
      </c>
      <c r="L1178" s="752" t="s">
        <v>54</v>
      </c>
      <c r="M1178" s="752" t="s">
        <v>53</v>
      </c>
      <c r="N1178" s="752" t="s">
        <v>65</v>
      </c>
      <c r="O1178" s="752" t="s">
        <v>66</v>
      </c>
      <c r="P1178" s="752" t="s">
        <v>1091</v>
      </c>
      <c r="Q1178" s="753">
        <v>133499</v>
      </c>
      <c r="R1178" s="753">
        <v>133499</v>
      </c>
      <c r="S1178" s="753">
        <v>67416</v>
      </c>
      <c r="T1178" s="753">
        <v>67416</v>
      </c>
      <c r="U1178" s="753">
        <v>5507</v>
      </c>
      <c r="V1178" s="751">
        <v>2019</v>
      </c>
      <c r="W1178" s="222"/>
      <c r="X1178" s="186">
        <f>IF(OR(K1178&gt;3,T1178=0,NOT(U1178&gt;0)),"",T1178/U1178)</f>
        <v>12.241873978572725</v>
      </c>
      <c r="Y1178" s="178" t="str">
        <f t="shared" si="63"/>
        <v/>
      </c>
      <c r="Z1178" s="178" t="str">
        <f t="shared" si="64"/>
        <v/>
      </c>
      <c r="AA1178" s="44"/>
      <c r="AB1178" s="65"/>
    </row>
    <row r="1179" spans="1:28" hidden="1">
      <c r="A1179" s="751">
        <v>57068</v>
      </c>
      <c r="B1179" s="752" t="s">
        <v>35</v>
      </c>
      <c r="C1179" s="751" t="s">
        <v>2960</v>
      </c>
      <c r="D1179" s="752" t="s">
        <v>1185</v>
      </c>
      <c r="E1179" s="752" t="s">
        <v>1185</v>
      </c>
      <c r="F1179" s="751">
        <v>56354</v>
      </c>
      <c r="G1179" s="752" t="s">
        <v>43</v>
      </c>
      <c r="H1179" s="752" t="s">
        <v>1245</v>
      </c>
      <c r="I1179" s="752" t="s">
        <v>60</v>
      </c>
      <c r="J1179" s="751">
        <v>22</v>
      </c>
      <c r="K1179" s="751">
        <v>2</v>
      </c>
      <c r="L1179" s="752" t="s">
        <v>54</v>
      </c>
      <c r="M1179" s="752" t="s">
        <v>52</v>
      </c>
      <c r="N1179" s="752" t="s">
        <v>48</v>
      </c>
      <c r="O1179" s="752" t="s">
        <v>48</v>
      </c>
      <c r="P1179" s="752" t="s">
        <v>49</v>
      </c>
      <c r="Q1179" s="753">
        <v>0</v>
      </c>
      <c r="R1179" s="753">
        <v>0</v>
      </c>
      <c r="S1179" s="753">
        <v>0</v>
      </c>
      <c r="T1179" s="753">
        <v>0</v>
      </c>
      <c r="U1179" s="753">
        <v>0</v>
      </c>
      <c r="V1179" s="751">
        <v>2019</v>
      </c>
      <c r="W1179" s="222"/>
      <c r="X1179" s="186" t="str">
        <f>IF(OR(K1179&gt;3,T1179=0,NOT(U1179&gt;0)),"",T1179/U1179)</f>
        <v/>
      </c>
      <c r="Y1179" s="178" t="str">
        <f t="shared" si="63"/>
        <v/>
      </c>
      <c r="Z1179" s="178" t="str">
        <f t="shared" si="64"/>
        <v/>
      </c>
      <c r="AA1179" s="44"/>
      <c r="AB1179" s="65"/>
    </row>
    <row r="1180" spans="1:28" hidden="1">
      <c r="A1180" s="751">
        <v>57068</v>
      </c>
      <c r="B1180" s="752" t="s">
        <v>35</v>
      </c>
      <c r="C1180" s="751" t="s">
        <v>2960</v>
      </c>
      <c r="D1180" s="752" t="s">
        <v>1185</v>
      </c>
      <c r="E1180" s="752" t="s">
        <v>1185</v>
      </c>
      <c r="F1180" s="751">
        <v>56354</v>
      </c>
      <c r="G1180" s="752" t="s">
        <v>43</v>
      </c>
      <c r="H1180" s="752" t="s">
        <v>1245</v>
      </c>
      <c r="I1180" s="752" t="s">
        <v>60</v>
      </c>
      <c r="J1180" s="751">
        <v>22</v>
      </c>
      <c r="K1180" s="751">
        <v>2</v>
      </c>
      <c r="L1180" s="752" t="s">
        <v>54</v>
      </c>
      <c r="M1180" s="752" t="s">
        <v>52</v>
      </c>
      <c r="N1180" s="752" t="s">
        <v>78</v>
      </c>
      <c r="O1180" s="752" t="s">
        <v>69</v>
      </c>
      <c r="P1180" s="752" t="s">
        <v>49</v>
      </c>
      <c r="Q1180" s="753">
        <v>6055</v>
      </c>
      <c r="R1180" s="753">
        <v>6055</v>
      </c>
      <c r="S1180" s="753">
        <v>33284</v>
      </c>
      <c r="T1180" s="753">
        <v>33284</v>
      </c>
      <c r="U1180" s="753">
        <v>-245.79599999999999</v>
      </c>
      <c r="V1180" s="751">
        <v>2019</v>
      </c>
      <c r="W1180" s="222"/>
      <c r="X1180" s="186" t="str">
        <f>IF(OR(K1180&gt;3,T1180=0,NOT(U1180&gt;0)),"",T1180/U1180)</f>
        <v/>
      </c>
      <c r="Y1180" s="178" t="str">
        <f t="shared" si="63"/>
        <v/>
      </c>
      <c r="Z1180" s="178" t="str">
        <f t="shared" si="64"/>
        <v/>
      </c>
      <c r="AA1180" s="44"/>
      <c r="AB1180" s="65"/>
    </row>
    <row r="1181" spans="1:28" hidden="1">
      <c r="A1181" s="751">
        <v>57068</v>
      </c>
      <c r="B1181" s="752" t="s">
        <v>35</v>
      </c>
      <c r="C1181" s="751" t="s">
        <v>2960</v>
      </c>
      <c r="D1181" s="752" t="s">
        <v>1185</v>
      </c>
      <c r="E1181" s="752" t="s">
        <v>1185</v>
      </c>
      <c r="F1181" s="751">
        <v>56354</v>
      </c>
      <c r="G1181" s="752" t="s">
        <v>43</v>
      </c>
      <c r="H1181" s="752" t="s">
        <v>1245</v>
      </c>
      <c r="I1181" s="752" t="s">
        <v>60</v>
      </c>
      <c r="J1181" s="751">
        <v>22</v>
      </c>
      <c r="K1181" s="751">
        <v>2</v>
      </c>
      <c r="L1181" s="752" t="s">
        <v>54</v>
      </c>
      <c r="M1181" s="752" t="s">
        <v>52</v>
      </c>
      <c r="N1181" s="752" t="s">
        <v>41</v>
      </c>
      <c r="O1181" s="752" t="s">
        <v>41</v>
      </c>
      <c r="P1181" s="752" t="s">
        <v>1091</v>
      </c>
      <c r="Q1181" s="753">
        <v>1210</v>
      </c>
      <c r="R1181" s="753">
        <v>1210</v>
      </c>
      <c r="S1181" s="753">
        <v>1248</v>
      </c>
      <c r="T1181" s="753">
        <v>1248</v>
      </c>
      <c r="U1181" s="753">
        <v>-9.2040000000000006</v>
      </c>
      <c r="V1181" s="751">
        <v>2019</v>
      </c>
      <c r="W1181" s="222"/>
      <c r="X1181" s="186" t="str">
        <f>IF(OR(K1181&gt;3,T1181=0,NOT(U1181&gt;0)),"",T1181/U1181)</f>
        <v/>
      </c>
      <c r="Y1181" s="178" t="str">
        <f t="shared" si="63"/>
        <v/>
      </c>
      <c r="Z1181" s="178" t="str">
        <f t="shared" si="64"/>
        <v/>
      </c>
      <c r="AA1181" s="44"/>
      <c r="AB1181" s="65"/>
    </row>
    <row r="1182" spans="1:28" ht="12.75" hidden="1" customHeight="1">
      <c r="A1182" s="751">
        <v>57070</v>
      </c>
      <c r="B1182" s="752" t="s">
        <v>35</v>
      </c>
      <c r="C1182" s="751" t="s">
        <v>2960</v>
      </c>
      <c r="D1182" s="752" t="s">
        <v>1130</v>
      </c>
      <c r="E1182" s="752" t="s">
        <v>1130</v>
      </c>
      <c r="F1182" s="751">
        <v>56352</v>
      </c>
      <c r="G1182" s="752" t="s">
        <v>43</v>
      </c>
      <c r="H1182" s="752" t="s">
        <v>1245</v>
      </c>
      <c r="I1182" s="752" t="s">
        <v>60</v>
      </c>
      <c r="J1182" s="751">
        <v>22</v>
      </c>
      <c r="K1182" s="751">
        <v>2</v>
      </c>
      <c r="L1182" s="752" t="s">
        <v>54</v>
      </c>
      <c r="M1182" s="752" t="s">
        <v>52</v>
      </c>
      <c r="N1182" s="752" t="s">
        <v>45</v>
      </c>
      <c r="O1182" s="752" t="s">
        <v>46</v>
      </c>
      <c r="P1182" s="752" t="s">
        <v>47</v>
      </c>
      <c r="Q1182" s="753">
        <v>0</v>
      </c>
      <c r="R1182" s="753">
        <v>0</v>
      </c>
      <c r="S1182" s="753">
        <v>0</v>
      </c>
      <c r="T1182" s="753">
        <v>0</v>
      </c>
      <c r="U1182" s="753">
        <v>0</v>
      </c>
      <c r="V1182" s="751">
        <v>2019</v>
      </c>
      <c r="W1182" s="222"/>
      <c r="X1182" s="186" t="str">
        <f>IF(OR(K1182&gt;3,T1182=0,NOT(U1182&gt;0)),"",T1182/U1182)</f>
        <v/>
      </c>
      <c r="Y1182" s="178" t="str">
        <f t="shared" si="63"/>
        <v/>
      </c>
      <c r="Z1182" s="178" t="str">
        <f t="shared" si="64"/>
        <v/>
      </c>
      <c r="AA1182" s="44"/>
      <c r="AB1182" s="65"/>
    </row>
    <row r="1183" spans="1:28" hidden="1">
      <c r="A1183" s="751">
        <v>57070</v>
      </c>
      <c r="B1183" s="752" t="s">
        <v>35</v>
      </c>
      <c r="C1183" s="751" t="s">
        <v>2960</v>
      </c>
      <c r="D1183" s="752" t="s">
        <v>1130</v>
      </c>
      <c r="E1183" s="752" t="s">
        <v>1130</v>
      </c>
      <c r="F1183" s="751">
        <v>56352</v>
      </c>
      <c r="G1183" s="752" t="s">
        <v>43</v>
      </c>
      <c r="H1183" s="752" t="s">
        <v>1245</v>
      </c>
      <c r="I1183" s="752" t="s">
        <v>60</v>
      </c>
      <c r="J1183" s="751">
        <v>22</v>
      </c>
      <c r="K1183" s="751">
        <v>2</v>
      </c>
      <c r="L1183" s="752" t="s">
        <v>54</v>
      </c>
      <c r="M1183" s="752" t="s">
        <v>52</v>
      </c>
      <c r="N1183" s="752" t="s">
        <v>48</v>
      </c>
      <c r="O1183" s="752" t="s">
        <v>48</v>
      </c>
      <c r="P1183" s="752" t="s">
        <v>49</v>
      </c>
      <c r="Q1183" s="753">
        <v>0</v>
      </c>
      <c r="R1183" s="753">
        <v>0</v>
      </c>
      <c r="S1183" s="753">
        <v>0</v>
      </c>
      <c r="T1183" s="753">
        <v>0</v>
      </c>
      <c r="U1183" s="753">
        <v>0</v>
      </c>
      <c r="V1183" s="751">
        <v>2019</v>
      </c>
      <c r="W1183" s="222"/>
      <c r="X1183" s="186"/>
      <c r="Y1183" s="178" t="str">
        <f t="shared" si="63"/>
        <v/>
      </c>
      <c r="Z1183" s="178" t="str">
        <f t="shared" si="64"/>
        <v/>
      </c>
      <c r="AA1183" s="44"/>
      <c r="AB1183" s="65"/>
    </row>
    <row r="1184" spans="1:28" hidden="1">
      <c r="A1184" s="751">
        <v>57070</v>
      </c>
      <c r="B1184" s="752" t="s">
        <v>35</v>
      </c>
      <c r="C1184" s="751" t="s">
        <v>2960</v>
      </c>
      <c r="D1184" s="752" t="s">
        <v>1130</v>
      </c>
      <c r="E1184" s="752" t="s">
        <v>1130</v>
      </c>
      <c r="F1184" s="751">
        <v>56352</v>
      </c>
      <c r="G1184" s="752" t="s">
        <v>43</v>
      </c>
      <c r="H1184" s="752" t="s">
        <v>1245</v>
      </c>
      <c r="I1184" s="752" t="s">
        <v>60</v>
      </c>
      <c r="J1184" s="751">
        <v>22</v>
      </c>
      <c r="K1184" s="751">
        <v>2</v>
      </c>
      <c r="L1184" s="752" t="s">
        <v>54</v>
      </c>
      <c r="M1184" s="752" t="s">
        <v>52</v>
      </c>
      <c r="N1184" s="752" t="s">
        <v>78</v>
      </c>
      <c r="O1184" s="752" t="s">
        <v>69</v>
      </c>
      <c r="P1184" s="752" t="s">
        <v>49</v>
      </c>
      <c r="Q1184" s="753">
        <v>3881</v>
      </c>
      <c r="R1184" s="753">
        <v>3881</v>
      </c>
      <c r="S1184" s="753">
        <v>22004</v>
      </c>
      <c r="T1184" s="753">
        <v>22004</v>
      </c>
      <c r="U1184" s="753">
        <v>-1589.655</v>
      </c>
      <c r="V1184" s="751">
        <v>2019</v>
      </c>
      <c r="W1184" s="222"/>
      <c r="X1184" s="186"/>
      <c r="Y1184" s="86" t="str">
        <f t="shared" si="63"/>
        <v/>
      </c>
      <c r="Z1184" s="86" t="str">
        <f t="shared" si="64"/>
        <v/>
      </c>
      <c r="AA1184" s="44"/>
      <c r="AB1184" s="65"/>
    </row>
    <row r="1185" spans="1:28" hidden="1">
      <c r="A1185" s="751">
        <v>57070</v>
      </c>
      <c r="B1185" s="752" t="s">
        <v>35</v>
      </c>
      <c r="C1185" s="751" t="s">
        <v>2960</v>
      </c>
      <c r="D1185" s="752" t="s">
        <v>1130</v>
      </c>
      <c r="E1185" s="752" t="s">
        <v>1130</v>
      </c>
      <c r="F1185" s="751">
        <v>56352</v>
      </c>
      <c r="G1185" s="752" t="s">
        <v>43</v>
      </c>
      <c r="H1185" s="752" t="s">
        <v>1245</v>
      </c>
      <c r="I1185" s="752" t="s">
        <v>60</v>
      </c>
      <c r="J1185" s="751">
        <v>22</v>
      </c>
      <c r="K1185" s="751">
        <v>2</v>
      </c>
      <c r="L1185" s="752" t="s">
        <v>54</v>
      </c>
      <c r="M1185" s="752" t="s">
        <v>52</v>
      </c>
      <c r="N1185" s="752" t="s">
        <v>41</v>
      </c>
      <c r="O1185" s="752" t="s">
        <v>41</v>
      </c>
      <c r="P1185" s="752" t="s">
        <v>1091</v>
      </c>
      <c r="Q1185" s="753">
        <v>5488</v>
      </c>
      <c r="R1185" s="753">
        <v>5488</v>
      </c>
      <c r="S1185" s="753">
        <v>5652</v>
      </c>
      <c r="T1185" s="753">
        <v>5652</v>
      </c>
      <c r="U1185" s="753">
        <v>-408.34500000000003</v>
      </c>
      <c r="V1185" s="751">
        <v>2019</v>
      </c>
      <c r="W1185" s="222"/>
      <c r="X1185" s="186"/>
      <c r="Y1185" s="86" t="str">
        <f t="shared" si="63"/>
        <v/>
      </c>
      <c r="Z1185" s="86" t="str">
        <f t="shared" si="64"/>
        <v/>
      </c>
      <c r="AA1185" s="44"/>
      <c r="AB1185" s="65"/>
    </row>
    <row r="1186" spans="1:28" hidden="1">
      <c r="A1186" s="751">
        <v>57078</v>
      </c>
      <c r="B1186" s="752" t="s">
        <v>35</v>
      </c>
      <c r="C1186" s="751" t="s">
        <v>2960</v>
      </c>
      <c r="D1186" s="752" t="s">
        <v>1266</v>
      </c>
      <c r="E1186" s="752" t="s">
        <v>1671</v>
      </c>
      <c r="F1186" s="751">
        <v>59155</v>
      </c>
      <c r="G1186" s="752" t="s">
        <v>59</v>
      </c>
      <c r="H1186" s="752" t="s">
        <v>1244</v>
      </c>
      <c r="I1186" s="752" t="s">
        <v>60</v>
      </c>
      <c r="J1186" s="751">
        <v>22</v>
      </c>
      <c r="K1186" s="751">
        <v>2</v>
      </c>
      <c r="L1186" s="752" t="s">
        <v>54</v>
      </c>
      <c r="M1186" s="752" t="s">
        <v>73</v>
      </c>
      <c r="N1186" s="752" t="s">
        <v>74</v>
      </c>
      <c r="O1186" s="752" t="s">
        <v>74</v>
      </c>
      <c r="P1186" s="752" t="s">
        <v>1238</v>
      </c>
      <c r="Q1186" s="753">
        <v>0</v>
      </c>
      <c r="R1186" s="753">
        <v>0</v>
      </c>
      <c r="S1186" s="753">
        <v>234754</v>
      </c>
      <c r="T1186" s="753">
        <v>234754</v>
      </c>
      <c r="U1186" s="753">
        <v>26365</v>
      </c>
      <c r="V1186" s="751">
        <v>2019</v>
      </c>
      <c r="W1186" s="222"/>
      <c r="X1186" s="186">
        <f>IF(OR(K1186&gt;3,T1186=0,NOT(U1186&gt;0)),"",T1186/U1186)</f>
        <v>8.9040015171629054</v>
      </c>
      <c r="Y1186" s="178" t="str">
        <f t="shared" si="63"/>
        <v/>
      </c>
      <c r="Z1186" s="178" t="str">
        <f t="shared" si="64"/>
        <v/>
      </c>
      <c r="AA1186" s="44"/>
      <c r="AB1186" s="65"/>
    </row>
    <row r="1187" spans="1:28" hidden="1">
      <c r="A1187" s="751">
        <v>57080</v>
      </c>
      <c r="B1187" s="752" t="s">
        <v>35</v>
      </c>
      <c r="C1187" s="751" t="s">
        <v>2960</v>
      </c>
      <c r="D1187" s="752" t="s">
        <v>1186</v>
      </c>
      <c r="E1187" s="752" t="s">
        <v>1671</v>
      </c>
      <c r="F1187" s="751">
        <v>59155</v>
      </c>
      <c r="G1187" s="752" t="s">
        <v>91</v>
      </c>
      <c r="H1187" s="752" t="s">
        <v>1245</v>
      </c>
      <c r="I1187" s="752" t="s">
        <v>60</v>
      </c>
      <c r="J1187" s="751">
        <v>22</v>
      </c>
      <c r="K1187" s="751">
        <v>2</v>
      </c>
      <c r="L1187" s="752" t="s">
        <v>54</v>
      </c>
      <c r="M1187" s="752" t="s">
        <v>73</v>
      </c>
      <c r="N1187" s="752" t="s">
        <v>74</v>
      </c>
      <c r="O1187" s="752" t="s">
        <v>74</v>
      </c>
      <c r="P1187" s="752" t="s">
        <v>1238</v>
      </c>
      <c r="Q1187" s="753">
        <v>0</v>
      </c>
      <c r="R1187" s="753">
        <v>0</v>
      </c>
      <c r="S1187" s="753">
        <v>664496</v>
      </c>
      <c r="T1187" s="753">
        <v>664496</v>
      </c>
      <c r="U1187" s="753">
        <v>74629</v>
      </c>
      <c r="V1187" s="751">
        <v>2019</v>
      </c>
      <c r="W1187" s="222"/>
      <c r="X1187" s="186">
        <f>IF(OR(K1187&gt;3,T1187=0,NOT(U1187&gt;0)),"",T1187/U1187)</f>
        <v>8.9039917458360698</v>
      </c>
      <c r="Y1187" s="178" t="str">
        <f t="shared" si="63"/>
        <v/>
      </c>
      <c r="Z1187" s="178" t="str">
        <f t="shared" si="64"/>
        <v/>
      </c>
      <c r="AA1187" s="44"/>
      <c r="AB1187" s="65"/>
    </row>
    <row r="1188" spans="1:28" hidden="1">
      <c r="A1188" s="751">
        <v>57083</v>
      </c>
      <c r="B1188" s="752" t="s">
        <v>35</v>
      </c>
      <c r="C1188" s="751" t="s">
        <v>2960</v>
      </c>
      <c r="D1188" s="752" t="s">
        <v>1267</v>
      </c>
      <c r="E1188" s="752" t="s">
        <v>1671</v>
      </c>
      <c r="F1188" s="751">
        <v>59155</v>
      </c>
      <c r="G1188" s="752" t="s">
        <v>92</v>
      </c>
      <c r="H1188" s="752" t="s">
        <v>1245</v>
      </c>
      <c r="I1188" s="752" t="s">
        <v>60</v>
      </c>
      <c r="J1188" s="751">
        <v>22</v>
      </c>
      <c r="K1188" s="751">
        <v>2</v>
      </c>
      <c r="L1188" s="752" t="s">
        <v>54</v>
      </c>
      <c r="M1188" s="752" t="s">
        <v>73</v>
      </c>
      <c r="N1188" s="752" t="s">
        <v>74</v>
      </c>
      <c r="O1188" s="752" t="s">
        <v>74</v>
      </c>
      <c r="P1188" s="752" t="s">
        <v>1238</v>
      </c>
      <c r="Q1188" s="753">
        <v>0</v>
      </c>
      <c r="R1188" s="753">
        <v>0</v>
      </c>
      <c r="S1188" s="753">
        <v>1025491</v>
      </c>
      <c r="T1188" s="753">
        <v>1025491</v>
      </c>
      <c r="U1188" s="753">
        <v>115172</v>
      </c>
      <c r="V1188" s="751">
        <v>2019</v>
      </c>
      <c r="W1188" s="222"/>
      <c r="X1188" s="186"/>
      <c r="Y1188" s="178" t="str">
        <f t="shared" si="63"/>
        <v/>
      </c>
      <c r="Z1188" s="178" t="str">
        <f t="shared" si="64"/>
        <v/>
      </c>
      <c r="AA1188" s="44"/>
      <c r="AB1188" s="65"/>
    </row>
    <row r="1189" spans="1:28" hidden="1">
      <c r="A1189" s="751">
        <v>57103</v>
      </c>
      <c r="B1189" s="752" t="s">
        <v>56</v>
      </c>
      <c r="C1189" s="751" t="s">
        <v>2960</v>
      </c>
      <c r="D1189" s="752" t="s">
        <v>1131</v>
      </c>
      <c r="E1189" s="752" t="s">
        <v>1087</v>
      </c>
      <c r="F1189" s="751">
        <v>56406</v>
      </c>
      <c r="G1189" s="752" t="s">
        <v>83</v>
      </c>
      <c r="H1189" s="752" t="s">
        <v>1245</v>
      </c>
      <c r="I1189" s="752" t="s">
        <v>60</v>
      </c>
      <c r="J1189" s="751">
        <v>32213</v>
      </c>
      <c r="K1189" s="751">
        <v>7</v>
      </c>
      <c r="L1189" s="752" t="s">
        <v>419</v>
      </c>
      <c r="M1189" s="752" t="s">
        <v>44</v>
      </c>
      <c r="N1189" s="752" t="s">
        <v>48</v>
      </c>
      <c r="O1189" s="752" t="s">
        <v>48</v>
      </c>
      <c r="P1189" s="752" t="s">
        <v>49</v>
      </c>
      <c r="Q1189" s="753">
        <v>0</v>
      </c>
      <c r="R1189" s="753">
        <v>0</v>
      </c>
      <c r="S1189" s="753">
        <v>0</v>
      </c>
      <c r="T1189" s="753">
        <v>0</v>
      </c>
      <c r="U1189" s="753">
        <v>0</v>
      </c>
      <c r="V1189" s="751">
        <v>2019</v>
      </c>
      <c r="W1189" s="222"/>
      <c r="X1189" s="186"/>
      <c r="Y1189" s="178" t="str">
        <f t="shared" si="63"/>
        <v/>
      </c>
      <c r="Z1189" s="178" t="str">
        <f t="shared" si="64"/>
        <v/>
      </c>
      <c r="AA1189" s="44"/>
      <c r="AB1189" s="65"/>
    </row>
    <row r="1190" spans="1:28" hidden="1">
      <c r="A1190" s="751">
        <v>57103</v>
      </c>
      <c r="B1190" s="752" t="s">
        <v>56</v>
      </c>
      <c r="C1190" s="751" t="s">
        <v>2960</v>
      </c>
      <c r="D1190" s="752" t="s">
        <v>1131</v>
      </c>
      <c r="E1190" s="752" t="s">
        <v>1087</v>
      </c>
      <c r="F1190" s="751">
        <v>56406</v>
      </c>
      <c r="G1190" s="752" t="s">
        <v>83</v>
      </c>
      <c r="H1190" s="752" t="s">
        <v>1245</v>
      </c>
      <c r="I1190" s="752" t="s">
        <v>60</v>
      </c>
      <c r="J1190" s="751">
        <v>32213</v>
      </c>
      <c r="K1190" s="751">
        <v>7</v>
      </c>
      <c r="L1190" s="752" t="s">
        <v>419</v>
      </c>
      <c r="M1190" s="752" t="s">
        <v>44</v>
      </c>
      <c r="N1190" s="752" t="s">
        <v>41</v>
      </c>
      <c r="O1190" s="752" t="s">
        <v>41</v>
      </c>
      <c r="P1190" s="752" t="s">
        <v>1091</v>
      </c>
      <c r="Q1190" s="753">
        <v>1334</v>
      </c>
      <c r="R1190" s="753">
        <v>0</v>
      </c>
      <c r="S1190" s="753">
        <v>1377</v>
      </c>
      <c r="T1190" s="753">
        <v>0</v>
      </c>
      <c r="U1190" s="753">
        <v>0</v>
      </c>
      <c r="V1190" s="751">
        <v>2019</v>
      </c>
      <c r="W1190" s="222"/>
      <c r="X1190" s="186"/>
      <c r="Y1190" s="178" t="str">
        <f t="shared" si="63"/>
        <v/>
      </c>
      <c r="Z1190" s="178" t="str">
        <f t="shared" si="64"/>
        <v/>
      </c>
      <c r="AA1190" s="44"/>
      <c r="AB1190" s="65"/>
    </row>
    <row r="1191" spans="1:28" hidden="1">
      <c r="A1191" s="751">
        <v>57130</v>
      </c>
      <c r="B1191" s="752" t="s">
        <v>35</v>
      </c>
      <c r="C1191" s="751" t="s">
        <v>2960</v>
      </c>
      <c r="D1191" s="752" t="s">
        <v>1088</v>
      </c>
      <c r="E1191" s="752" t="s">
        <v>1089</v>
      </c>
      <c r="F1191" s="751">
        <v>56439</v>
      </c>
      <c r="G1191" s="752" t="s">
        <v>92</v>
      </c>
      <c r="H1191" s="752" t="s">
        <v>1245</v>
      </c>
      <c r="I1191" s="752" t="s">
        <v>60</v>
      </c>
      <c r="J1191" s="751">
        <v>22</v>
      </c>
      <c r="K1191" s="751">
        <v>2</v>
      </c>
      <c r="L1191" s="752" t="s">
        <v>54</v>
      </c>
      <c r="M1191" s="752" t="s">
        <v>73</v>
      </c>
      <c r="N1191" s="752" t="s">
        <v>74</v>
      </c>
      <c r="O1191" s="752" t="s">
        <v>74</v>
      </c>
      <c r="P1191" s="752" t="s">
        <v>1238</v>
      </c>
      <c r="Q1191" s="753">
        <v>0</v>
      </c>
      <c r="R1191" s="753">
        <v>0</v>
      </c>
      <c r="S1191" s="753">
        <v>105122</v>
      </c>
      <c r="T1191" s="753">
        <v>105122</v>
      </c>
      <c r="U1191" s="753">
        <v>11806</v>
      </c>
      <c r="V1191" s="751">
        <v>2019</v>
      </c>
      <c r="W1191" s="222"/>
      <c r="X1191" s="186">
        <f>IF(OR(K1191&gt;3,T1191=0,NOT(U1191&gt;0)),"",T1191/U1191)</f>
        <v>8.904116550906318</v>
      </c>
      <c r="Y1191" s="178" t="str">
        <f t="shared" si="63"/>
        <v/>
      </c>
      <c r="Z1191" s="178" t="str">
        <f t="shared" si="64"/>
        <v/>
      </c>
      <c r="AA1191" s="44"/>
      <c r="AB1191" s="65"/>
    </row>
    <row r="1192" spans="1:28" ht="25" hidden="1">
      <c r="A1192" s="751">
        <v>57179</v>
      </c>
      <c r="B1192" s="752" t="s">
        <v>56</v>
      </c>
      <c r="C1192" s="751" t="s">
        <v>2960</v>
      </c>
      <c r="D1192" s="752" t="s">
        <v>1140</v>
      </c>
      <c r="E1192" s="752" t="s">
        <v>988</v>
      </c>
      <c r="F1192" s="751">
        <v>8153</v>
      </c>
      <c r="G1192" s="752" t="s">
        <v>43</v>
      </c>
      <c r="H1192" s="752" t="s">
        <v>1245</v>
      </c>
      <c r="I1192" s="752" t="s">
        <v>60</v>
      </c>
      <c r="J1192" s="751">
        <v>622</v>
      </c>
      <c r="K1192" s="751">
        <v>5</v>
      </c>
      <c r="L1192" s="752" t="s">
        <v>423</v>
      </c>
      <c r="M1192" s="752" t="s">
        <v>52</v>
      </c>
      <c r="N1192" s="752" t="s">
        <v>41</v>
      </c>
      <c r="O1192" s="752" t="s">
        <v>41</v>
      </c>
      <c r="P1192" s="752" t="s">
        <v>1091</v>
      </c>
      <c r="Q1192" s="753">
        <v>374781</v>
      </c>
      <c r="R1192" s="753">
        <v>126402</v>
      </c>
      <c r="S1192" s="753">
        <v>384899</v>
      </c>
      <c r="T1192" s="753">
        <v>129817</v>
      </c>
      <c r="U1192" s="753">
        <v>28140</v>
      </c>
      <c r="V1192" s="751">
        <v>2019</v>
      </c>
      <c r="W1192" s="222"/>
      <c r="X1192" s="186"/>
      <c r="Y1192" s="178">
        <f t="shared" si="63"/>
        <v>5.2607703242031603</v>
      </c>
      <c r="Z1192" s="178" t="str">
        <f t="shared" si="64"/>
        <v/>
      </c>
      <c r="AA1192" s="44"/>
      <c r="AB1192" s="65"/>
    </row>
    <row r="1193" spans="1:28" hidden="1">
      <c r="A1193" s="751">
        <v>57184</v>
      </c>
      <c r="B1193" s="752" t="s">
        <v>35</v>
      </c>
      <c r="C1193" s="751" t="s">
        <v>2960</v>
      </c>
      <c r="D1193" s="752" t="s">
        <v>1090</v>
      </c>
      <c r="E1193" s="752" t="s">
        <v>1637</v>
      </c>
      <c r="F1193" s="751">
        <v>59178</v>
      </c>
      <c r="G1193" s="752" t="s">
        <v>92</v>
      </c>
      <c r="H1193" s="752" t="s">
        <v>1245</v>
      </c>
      <c r="I1193" s="752" t="s">
        <v>60</v>
      </c>
      <c r="J1193" s="751">
        <v>22</v>
      </c>
      <c r="K1193" s="751">
        <v>2</v>
      </c>
      <c r="L1193" s="752" t="s">
        <v>54</v>
      </c>
      <c r="M1193" s="752" t="s">
        <v>37</v>
      </c>
      <c r="N1193" s="752" t="s">
        <v>38</v>
      </c>
      <c r="O1193" s="752" t="s">
        <v>39</v>
      </c>
      <c r="P1193" s="752" t="s">
        <v>1238</v>
      </c>
      <c r="Q1193" s="753">
        <v>0</v>
      </c>
      <c r="R1193" s="753">
        <v>0</v>
      </c>
      <c r="S1193" s="753">
        <v>86270</v>
      </c>
      <c r="T1193" s="753">
        <v>86270</v>
      </c>
      <c r="U1193" s="753">
        <v>9689</v>
      </c>
      <c r="V1193" s="751">
        <v>2019</v>
      </c>
      <c r="W1193" s="222"/>
      <c r="X1193" s="186"/>
      <c r="Y1193" s="178" t="str">
        <f t="shared" si="63"/>
        <v/>
      </c>
      <c r="Z1193" s="178" t="str">
        <f t="shared" si="64"/>
        <v/>
      </c>
      <c r="AA1193" s="44"/>
      <c r="AB1193" s="65"/>
    </row>
    <row r="1194" spans="1:28" hidden="1">
      <c r="A1194" s="751">
        <v>57186</v>
      </c>
      <c r="B1194" s="752" t="s">
        <v>35</v>
      </c>
      <c r="C1194" s="751" t="s">
        <v>2960</v>
      </c>
      <c r="D1194" s="752" t="s">
        <v>1132</v>
      </c>
      <c r="E1194" s="752" t="s">
        <v>1069</v>
      </c>
      <c r="F1194" s="751">
        <v>50158</v>
      </c>
      <c r="G1194" s="752" t="s">
        <v>59</v>
      </c>
      <c r="H1194" s="752" t="s">
        <v>1244</v>
      </c>
      <c r="I1194" s="752" t="s">
        <v>60</v>
      </c>
      <c r="J1194" s="751">
        <v>22</v>
      </c>
      <c r="K1194" s="751">
        <v>2</v>
      </c>
      <c r="L1194" s="752" t="s">
        <v>54</v>
      </c>
      <c r="M1194" s="752" t="s">
        <v>53</v>
      </c>
      <c r="N1194" s="752" t="s">
        <v>65</v>
      </c>
      <c r="O1194" s="752" t="s">
        <v>66</v>
      </c>
      <c r="P1194" s="752" t="s">
        <v>1091</v>
      </c>
      <c r="Q1194" s="753">
        <v>943098</v>
      </c>
      <c r="R1194" s="753">
        <v>943098</v>
      </c>
      <c r="S1194" s="753">
        <v>494184</v>
      </c>
      <c r="T1194" s="753">
        <v>494184</v>
      </c>
      <c r="U1194" s="753">
        <v>39103</v>
      </c>
      <c r="V1194" s="751">
        <v>2019</v>
      </c>
      <c r="W1194" s="222"/>
      <c r="X1194" s="186"/>
      <c r="Y1194" s="178" t="str">
        <f t="shared" si="63"/>
        <v/>
      </c>
      <c r="Z1194" s="178" t="str">
        <f t="shared" si="64"/>
        <v/>
      </c>
      <c r="AA1194" s="44"/>
      <c r="AB1194" s="65"/>
    </row>
    <row r="1195" spans="1:28" ht="25" hidden="1">
      <c r="A1195" s="751">
        <v>57253</v>
      </c>
      <c r="B1195" s="752" t="s">
        <v>35</v>
      </c>
      <c r="C1195" s="751" t="s">
        <v>2960</v>
      </c>
      <c r="D1195" s="752" t="s">
        <v>1133</v>
      </c>
      <c r="E1195" s="752" t="s">
        <v>1672</v>
      </c>
      <c r="F1195" s="751">
        <v>56619</v>
      </c>
      <c r="G1195" s="752" t="s">
        <v>83</v>
      </c>
      <c r="H1195" s="752" t="s">
        <v>1245</v>
      </c>
      <c r="I1195" s="752" t="s">
        <v>60</v>
      </c>
      <c r="J1195" s="751">
        <v>22</v>
      </c>
      <c r="K1195" s="751">
        <v>2</v>
      </c>
      <c r="L1195" s="752" t="s">
        <v>54</v>
      </c>
      <c r="M1195" s="752" t="s">
        <v>73</v>
      </c>
      <c r="N1195" s="752" t="s">
        <v>74</v>
      </c>
      <c r="O1195" s="752" t="s">
        <v>74</v>
      </c>
      <c r="P1195" s="752" t="s">
        <v>1238</v>
      </c>
      <c r="Q1195" s="753">
        <v>0</v>
      </c>
      <c r="R1195" s="753">
        <v>0</v>
      </c>
      <c r="S1195" s="753">
        <v>85951</v>
      </c>
      <c r="T1195" s="753">
        <v>85951</v>
      </c>
      <c r="U1195" s="753">
        <v>9653</v>
      </c>
      <c r="V1195" s="751">
        <v>2019</v>
      </c>
      <c r="W1195" s="222"/>
      <c r="X1195" s="186"/>
      <c r="Y1195" s="178" t="str">
        <f t="shared" si="63"/>
        <v/>
      </c>
      <c r="Z1195" s="178" t="str">
        <f t="shared" si="64"/>
        <v/>
      </c>
      <c r="AA1195" s="44"/>
      <c r="AB1195" s="65"/>
    </row>
    <row r="1196" spans="1:28" hidden="1">
      <c r="A1196" s="751">
        <v>57265</v>
      </c>
      <c r="B1196" s="752" t="s">
        <v>35</v>
      </c>
      <c r="C1196" s="751" t="s">
        <v>2960</v>
      </c>
      <c r="D1196" s="752" t="s">
        <v>1268</v>
      </c>
      <c r="E1196" s="752" t="s">
        <v>1135</v>
      </c>
      <c r="F1196" s="751">
        <v>11804</v>
      </c>
      <c r="G1196" s="752" t="s">
        <v>83</v>
      </c>
      <c r="H1196" s="752" t="s">
        <v>1245</v>
      </c>
      <c r="I1196" s="752" t="s">
        <v>60</v>
      </c>
      <c r="J1196" s="751">
        <v>22</v>
      </c>
      <c r="K1196" s="751">
        <v>1</v>
      </c>
      <c r="L1196" s="752" t="s">
        <v>36</v>
      </c>
      <c r="M1196" s="752" t="s">
        <v>468</v>
      </c>
      <c r="N1196" s="752" t="s">
        <v>469</v>
      </c>
      <c r="O1196" s="752" t="s">
        <v>469</v>
      </c>
      <c r="P1196" s="752" t="s">
        <v>1238</v>
      </c>
      <c r="Q1196" s="753">
        <v>0</v>
      </c>
      <c r="R1196" s="753">
        <v>0</v>
      </c>
      <c r="S1196" s="753">
        <v>10757</v>
      </c>
      <c r="T1196" s="753">
        <v>10757</v>
      </c>
      <c r="U1196" s="753">
        <v>1208</v>
      </c>
      <c r="V1196" s="751">
        <v>2019</v>
      </c>
      <c r="W1196" s="222"/>
      <c r="X1196" s="186"/>
      <c r="Y1196" s="178" t="str">
        <f t="shared" si="63"/>
        <v/>
      </c>
      <c r="Z1196" s="178" t="str">
        <f t="shared" si="64"/>
        <v/>
      </c>
      <c r="AA1196" s="44"/>
      <c r="AB1196" s="65"/>
    </row>
    <row r="1197" spans="1:28" hidden="1">
      <c r="A1197" s="751">
        <v>57269</v>
      </c>
      <c r="B1197" s="752" t="s">
        <v>35</v>
      </c>
      <c r="C1197" s="751" t="s">
        <v>2960</v>
      </c>
      <c r="D1197" s="752" t="s">
        <v>1134</v>
      </c>
      <c r="E1197" s="752" t="s">
        <v>1135</v>
      </c>
      <c r="F1197" s="751">
        <v>11804</v>
      </c>
      <c r="G1197" s="752" t="s">
        <v>83</v>
      </c>
      <c r="H1197" s="752" t="s">
        <v>1245</v>
      </c>
      <c r="I1197" s="752" t="s">
        <v>60</v>
      </c>
      <c r="J1197" s="751">
        <v>22</v>
      </c>
      <c r="K1197" s="751">
        <v>1</v>
      </c>
      <c r="L1197" s="752" t="s">
        <v>36</v>
      </c>
      <c r="M1197" s="752" t="s">
        <v>468</v>
      </c>
      <c r="N1197" s="752" t="s">
        <v>469</v>
      </c>
      <c r="O1197" s="752" t="s">
        <v>469</v>
      </c>
      <c r="P1197" s="752" t="s">
        <v>1238</v>
      </c>
      <c r="Q1197" s="753">
        <v>0</v>
      </c>
      <c r="R1197" s="753">
        <v>0</v>
      </c>
      <c r="S1197" s="753">
        <v>7987</v>
      </c>
      <c r="T1197" s="753">
        <v>7987</v>
      </c>
      <c r="U1197" s="753">
        <v>897</v>
      </c>
      <c r="V1197" s="751">
        <v>2019</v>
      </c>
      <c r="W1197" s="222"/>
      <c r="X1197" s="186"/>
      <c r="Y1197" s="178" t="str">
        <f t="shared" si="63"/>
        <v/>
      </c>
      <c r="Z1197" s="178" t="str">
        <f t="shared" si="64"/>
        <v/>
      </c>
      <c r="AA1197" s="44"/>
      <c r="AB1197" s="65"/>
    </row>
    <row r="1198" spans="1:28" hidden="1">
      <c r="A1198" s="751">
        <v>57270</v>
      </c>
      <c r="B1198" s="752" t="s">
        <v>35</v>
      </c>
      <c r="C1198" s="751" t="s">
        <v>2960</v>
      </c>
      <c r="D1198" s="752" t="s">
        <v>1136</v>
      </c>
      <c r="E1198" s="752" t="s">
        <v>1135</v>
      </c>
      <c r="F1198" s="751">
        <v>11804</v>
      </c>
      <c r="G1198" s="752" t="s">
        <v>83</v>
      </c>
      <c r="H1198" s="752" t="s">
        <v>1245</v>
      </c>
      <c r="I1198" s="752" t="s">
        <v>60</v>
      </c>
      <c r="J1198" s="751">
        <v>22</v>
      </c>
      <c r="K1198" s="751">
        <v>1</v>
      </c>
      <c r="L1198" s="752" t="s">
        <v>36</v>
      </c>
      <c r="M1198" s="752" t="s">
        <v>468</v>
      </c>
      <c r="N1198" s="752" t="s">
        <v>469</v>
      </c>
      <c r="O1198" s="752" t="s">
        <v>469</v>
      </c>
      <c r="P1198" s="752" t="s">
        <v>1238</v>
      </c>
      <c r="Q1198" s="753">
        <v>0</v>
      </c>
      <c r="R1198" s="753">
        <v>0</v>
      </c>
      <c r="S1198" s="753">
        <v>9108</v>
      </c>
      <c r="T1198" s="753">
        <v>9108</v>
      </c>
      <c r="U1198" s="753">
        <v>1023</v>
      </c>
      <c r="V1198" s="751">
        <v>2019</v>
      </c>
      <c r="W1198" s="222"/>
      <c r="X1198" s="186"/>
      <c r="Y1198" s="178" t="str">
        <f t="shared" si="63"/>
        <v/>
      </c>
      <c r="Z1198" s="178" t="str">
        <f t="shared" si="64"/>
        <v/>
      </c>
      <c r="AA1198" s="44"/>
      <c r="AB1198" s="65"/>
    </row>
    <row r="1199" spans="1:28" hidden="1">
      <c r="A1199" s="751">
        <v>57287</v>
      </c>
      <c r="B1199" s="752" t="s">
        <v>35</v>
      </c>
      <c r="C1199" s="751" t="s">
        <v>2960</v>
      </c>
      <c r="D1199" s="752" t="s">
        <v>1187</v>
      </c>
      <c r="E1199" s="752" t="s">
        <v>2030</v>
      </c>
      <c r="F1199" s="751">
        <v>15399</v>
      </c>
      <c r="G1199" s="752" t="s">
        <v>59</v>
      </c>
      <c r="H1199" s="752" t="s">
        <v>1244</v>
      </c>
      <c r="I1199" s="752" t="s">
        <v>60</v>
      </c>
      <c r="J1199" s="751">
        <v>22</v>
      </c>
      <c r="K1199" s="751">
        <v>2</v>
      </c>
      <c r="L1199" s="752" t="s">
        <v>54</v>
      </c>
      <c r="M1199" s="752" t="s">
        <v>73</v>
      </c>
      <c r="N1199" s="752" t="s">
        <v>74</v>
      </c>
      <c r="O1199" s="752" t="s">
        <v>74</v>
      </c>
      <c r="P1199" s="752" t="s">
        <v>1238</v>
      </c>
      <c r="Q1199" s="753">
        <v>0</v>
      </c>
      <c r="R1199" s="753">
        <v>0</v>
      </c>
      <c r="S1199" s="753">
        <v>1637035</v>
      </c>
      <c r="T1199" s="753">
        <v>1637035</v>
      </c>
      <c r="U1199" s="753">
        <v>183854</v>
      </c>
      <c r="V1199" s="751">
        <v>2019</v>
      </c>
      <c r="W1199" s="222"/>
      <c r="X1199" s="186"/>
      <c r="Y1199" s="178" t="str">
        <f t="shared" si="63"/>
        <v/>
      </c>
      <c r="Z1199" s="178" t="str">
        <f t="shared" si="64"/>
        <v/>
      </c>
      <c r="AA1199" s="44"/>
      <c r="AB1199" s="65"/>
    </row>
    <row r="1200" spans="1:28" hidden="1">
      <c r="A1200" s="751">
        <v>57354</v>
      </c>
      <c r="B1200" s="752" t="s">
        <v>35</v>
      </c>
      <c r="C1200" s="751" t="s">
        <v>2960</v>
      </c>
      <c r="D1200" s="752" t="s">
        <v>1137</v>
      </c>
      <c r="E1200" s="752" t="s">
        <v>1137</v>
      </c>
      <c r="F1200" s="751">
        <v>56693</v>
      </c>
      <c r="G1200" s="752" t="s">
        <v>92</v>
      </c>
      <c r="H1200" s="752" t="s">
        <v>1245</v>
      </c>
      <c r="I1200" s="752" t="s">
        <v>60</v>
      </c>
      <c r="J1200" s="751">
        <v>22</v>
      </c>
      <c r="K1200" s="751">
        <v>2</v>
      </c>
      <c r="L1200" s="752" t="s">
        <v>54</v>
      </c>
      <c r="M1200" s="752" t="s">
        <v>73</v>
      </c>
      <c r="N1200" s="752" t="s">
        <v>74</v>
      </c>
      <c r="O1200" s="752" t="s">
        <v>74</v>
      </c>
      <c r="P1200" s="752" t="s">
        <v>1238</v>
      </c>
      <c r="Q1200" s="753">
        <v>0</v>
      </c>
      <c r="R1200" s="753">
        <v>0</v>
      </c>
      <c r="S1200" s="753">
        <v>84345</v>
      </c>
      <c r="T1200" s="753">
        <v>84345</v>
      </c>
      <c r="U1200" s="753">
        <v>9473</v>
      </c>
      <c r="V1200" s="751">
        <v>2019</v>
      </c>
      <c r="W1200" s="222"/>
      <c r="X1200" s="186"/>
      <c r="Y1200" s="178" t="str">
        <f t="shared" si="63"/>
        <v/>
      </c>
      <c r="Z1200" s="178" t="str">
        <f t="shared" si="64"/>
        <v/>
      </c>
      <c r="AA1200" s="44"/>
      <c r="AB1200" s="65"/>
    </row>
    <row r="1201" spans="1:28" hidden="1">
      <c r="A1201" s="751">
        <v>57380</v>
      </c>
      <c r="B1201" s="752" t="s">
        <v>35</v>
      </c>
      <c r="C1201" s="751" t="s">
        <v>2960</v>
      </c>
      <c r="D1201" s="752" t="s">
        <v>1269</v>
      </c>
      <c r="E1201" s="752" t="s">
        <v>2030</v>
      </c>
      <c r="F1201" s="751">
        <v>15399</v>
      </c>
      <c r="G1201" s="752" t="s">
        <v>83</v>
      </c>
      <c r="H1201" s="752" t="s">
        <v>1245</v>
      </c>
      <c r="I1201" s="752" t="s">
        <v>60</v>
      </c>
      <c r="J1201" s="751">
        <v>22</v>
      </c>
      <c r="K1201" s="751">
        <v>2</v>
      </c>
      <c r="L1201" s="752" t="s">
        <v>54</v>
      </c>
      <c r="M1201" s="752" t="s">
        <v>73</v>
      </c>
      <c r="N1201" s="752" t="s">
        <v>74</v>
      </c>
      <c r="O1201" s="752" t="s">
        <v>74</v>
      </c>
      <c r="P1201" s="752" t="s">
        <v>1238</v>
      </c>
      <c r="Q1201" s="753">
        <v>0</v>
      </c>
      <c r="R1201" s="753">
        <v>0</v>
      </c>
      <c r="S1201" s="753">
        <v>703184</v>
      </c>
      <c r="T1201" s="753">
        <v>703184</v>
      </c>
      <c r="U1201" s="753">
        <v>78974</v>
      </c>
      <c r="V1201" s="751">
        <v>2019</v>
      </c>
      <c r="W1201" s="222"/>
      <c r="X1201" s="186"/>
      <c r="Y1201" s="178" t="str">
        <f t="shared" si="63"/>
        <v/>
      </c>
      <c r="Z1201" s="178" t="str">
        <f t="shared" si="64"/>
        <v/>
      </c>
      <c r="AA1201" s="44"/>
      <c r="AB1201" s="65"/>
    </row>
    <row r="1202" spans="1:28" hidden="1">
      <c r="A1202" s="751">
        <v>57404</v>
      </c>
      <c r="B1202" s="752" t="s">
        <v>35</v>
      </c>
      <c r="C1202" s="751" t="s">
        <v>2960</v>
      </c>
      <c r="D1202" s="752" t="s">
        <v>1270</v>
      </c>
      <c r="E1202" s="752" t="s">
        <v>945</v>
      </c>
      <c r="F1202" s="751">
        <v>54842</v>
      </c>
      <c r="G1202" s="752" t="s">
        <v>59</v>
      </c>
      <c r="H1202" s="752" t="s">
        <v>1244</v>
      </c>
      <c r="I1202" s="752" t="s">
        <v>60</v>
      </c>
      <c r="J1202" s="751">
        <v>22</v>
      </c>
      <c r="K1202" s="751">
        <v>2</v>
      </c>
      <c r="L1202" s="752" t="s">
        <v>54</v>
      </c>
      <c r="M1202" s="752" t="s">
        <v>53</v>
      </c>
      <c r="N1202" s="752" t="s">
        <v>65</v>
      </c>
      <c r="O1202" s="752" t="s">
        <v>66</v>
      </c>
      <c r="P1202" s="752" t="s">
        <v>1091</v>
      </c>
      <c r="Q1202" s="753">
        <v>568304</v>
      </c>
      <c r="R1202" s="753">
        <v>568304</v>
      </c>
      <c r="S1202" s="753">
        <v>281878</v>
      </c>
      <c r="T1202" s="753">
        <v>281878</v>
      </c>
      <c r="U1202" s="753">
        <v>26290</v>
      </c>
      <c r="V1202" s="751">
        <v>2019</v>
      </c>
      <c r="W1202" s="222"/>
      <c r="X1202" s="186"/>
      <c r="Y1202" s="178" t="str">
        <f t="shared" si="63"/>
        <v/>
      </c>
      <c r="Z1202" s="178" t="str">
        <f t="shared" si="64"/>
        <v/>
      </c>
      <c r="AA1202" s="44"/>
      <c r="AB1202" s="65"/>
    </row>
    <row r="1203" spans="1:28" hidden="1">
      <c r="A1203" s="751">
        <v>57414</v>
      </c>
      <c r="B1203" s="752" t="s">
        <v>35</v>
      </c>
      <c r="C1203" s="751" t="s">
        <v>2960</v>
      </c>
      <c r="D1203" s="752" t="s">
        <v>1138</v>
      </c>
      <c r="E1203" s="752" t="s">
        <v>1139</v>
      </c>
      <c r="F1203" s="751">
        <v>56742</v>
      </c>
      <c r="G1203" s="752" t="s">
        <v>83</v>
      </c>
      <c r="H1203" s="752" t="s">
        <v>1245</v>
      </c>
      <c r="I1203" s="752" t="s">
        <v>60</v>
      </c>
      <c r="J1203" s="751">
        <v>22</v>
      </c>
      <c r="K1203" s="751">
        <v>2</v>
      </c>
      <c r="L1203" s="752" t="s">
        <v>54</v>
      </c>
      <c r="M1203" s="752" t="s">
        <v>73</v>
      </c>
      <c r="N1203" s="752" t="s">
        <v>74</v>
      </c>
      <c r="O1203" s="752" t="s">
        <v>74</v>
      </c>
      <c r="P1203" s="752" t="s">
        <v>1238</v>
      </c>
      <c r="Q1203" s="753">
        <v>0</v>
      </c>
      <c r="R1203" s="753">
        <v>0</v>
      </c>
      <c r="S1203" s="753">
        <v>42526</v>
      </c>
      <c r="T1203" s="753">
        <v>42526</v>
      </c>
      <c r="U1203" s="753">
        <v>4776</v>
      </c>
      <c r="V1203" s="751">
        <v>2019</v>
      </c>
      <c r="W1203" s="222"/>
      <c r="X1203" s="186"/>
      <c r="Y1203" s="178" t="str">
        <f t="shared" si="63"/>
        <v/>
      </c>
      <c r="Z1203" s="178" t="str">
        <f t="shared" si="64"/>
        <v/>
      </c>
      <c r="AA1203" s="44"/>
      <c r="AB1203" s="65"/>
    </row>
    <row r="1204" spans="1:28" ht="25" hidden="1">
      <c r="A1204" s="751">
        <v>57473</v>
      </c>
      <c r="B1204" s="752" t="s">
        <v>35</v>
      </c>
      <c r="C1204" s="751" t="s">
        <v>2960</v>
      </c>
      <c r="D1204" s="752" t="s">
        <v>1188</v>
      </c>
      <c r="E1204" s="752" t="s">
        <v>1189</v>
      </c>
      <c r="F1204" s="751">
        <v>56769</v>
      </c>
      <c r="G1204" s="752" t="s">
        <v>83</v>
      </c>
      <c r="H1204" s="752" t="s">
        <v>1245</v>
      </c>
      <c r="I1204" s="752" t="s">
        <v>60</v>
      </c>
      <c r="J1204" s="751">
        <v>22</v>
      </c>
      <c r="K1204" s="751">
        <v>2</v>
      </c>
      <c r="L1204" s="752" t="s">
        <v>54</v>
      </c>
      <c r="M1204" s="752" t="s">
        <v>468</v>
      </c>
      <c r="N1204" s="752" t="s">
        <v>469</v>
      </c>
      <c r="O1204" s="752" t="s">
        <v>469</v>
      </c>
      <c r="P1204" s="752" t="s">
        <v>1238</v>
      </c>
      <c r="Q1204" s="753">
        <v>0</v>
      </c>
      <c r="R1204" s="753">
        <v>0</v>
      </c>
      <c r="S1204" s="753">
        <v>12599</v>
      </c>
      <c r="T1204" s="753">
        <v>12599</v>
      </c>
      <c r="U1204" s="753">
        <v>1415</v>
      </c>
      <c r="V1204" s="751">
        <v>2019</v>
      </c>
      <c r="W1204" s="222"/>
      <c r="X1204" s="186"/>
      <c r="Y1204" s="178" t="str">
        <f t="shared" si="63"/>
        <v/>
      </c>
      <c r="Z1204" s="178" t="str">
        <f t="shared" si="64"/>
        <v/>
      </c>
      <c r="AA1204" s="44"/>
      <c r="AB1204" s="65"/>
    </row>
    <row r="1205" spans="1:28" ht="25" hidden="1">
      <c r="A1205" s="751">
        <v>57481</v>
      </c>
      <c r="B1205" s="752" t="s">
        <v>35</v>
      </c>
      <c r="C1205" s="751" t="s">
        <v>2960</v>
      </c>
      <c r="D1205" s="752" t="s">
        <v>1190</v>
      </c>
      <c r="E1205" s="752" t="s">
        <v>1191</v>
      </c>
      <c r="F1205" s="751">
        <v>56795</v>
      </c>
      <c r="G1205" s="752" t="s">
        <v>91</v>
      </c>
      <c r="H1205" s="752" t="s">
        <v>1245</v>
      </c>
      <c r="I1205" s="752" t="s">
        <v>60</v>
      </c>
      <c r="J1205" s="751">
        <v>22</v>
      </c>
      <c r="K1205" s="751">
        <v>2</v>
      </c>
      <c r="L1205" s="752" t="s">
        <v>54</v>
      </c>
      <c r="M1205" s="752" t="s">
        <v>468</v>
      </c>
      <c r="N1205" s="752" t="s">
        <v>469</v>
      </c>
      <c r="O1205" s="752" t="s">
        <v>469</v>
      </c>
      <c r="P1205" s="752" t="s">
        <v>1238</v>
      </c>
      <c r="Q1205" s="753">
        <v>0</v>
      </c>
      <c r="R1205" s="753">
        <v>0</v>
      </c>
      <c r="S1205" s="753">
        <v>28349</v>
      </c>
      <c r="T1205" s="753">
        <v>28349</v>
      </c>
      <c r="U1205" s="753">
        <v>3184</v>
      </c>
      <c r="V1205" s="751">
        <v>2019</v>
      </c>
      <c r="W1205" s="222"/>
      <c r="X1205" s="186"/>
      <c r="Y1205" s="178" t="str">
        <f t="shared" si="63"/>
        <v/>
      </c>
      <c r="Z1205" s="178" t="str">
        <f t="shared" si="64"/>
        <v/>
      </c>
      <c r="AA1205" s="44"/>
      <c r="AB1205" s="65"/>
    </row>
    <row r="1206" spans="1:28" hidden="1">
      <c r="A1206" s="751">
        <v>57531</v>
      </c>
      <c r="B1206" s="752" t="s">
        <v>35</v>
      </c>
      <c r="C1206" s="751" t="s">
        <v>2960</v>
      </c>
      <c r="D1206" s="752" t="s">
        <v>2032</v>
      </c>
      <c r="E1206" s="752" t="s">
        <v>2031</v>
      </c>
      <c r="F1206" s="751">
        <v>60453</v>
      </c>
      <c r="G1206" s="752" t="s">
        <v>92</v>
      </c>
      <c r="H1206" s="752" t="s">
        <v>1245</v>
      </c>
      <c r="I1206" s="752" t="s">
        <v>60</v>
      </c>
      <c r="J1206" s="751">
        <v>22</v>
      </c>
      <c r="K1206" s="751">
        <v>2</v>
      </c>
      <c r="L1206" s="752" t="s">
        <v>54</v>
      </c>
      <c r="M1206" s="752" t="s">
        <v>73</v>
      </c>
      <c r="N1206" s="752" t="s">
        <v>74</v>
      </c>
      <c r="O1206" s="752" t="s">
        <v>74</v>
      </c>
      <c r="P1206" s="752" t="s">
        <v>1238</v>
      </c>
      <c r="Q1206" s="753">
        <v>0</v>
      </c>
      <c r="R1206" s="753">
        <v>0</v>
      </c>
      <c r="S1206" s="753">
        <v>4750453</v>
      </c>
      <c r="T1206" s="753">
        <v>4750453</v>
      </c>
      <c r="U1206" s="753">
        <v>533519</v>
      </c>
      <c r="V1206" s="751">
        <v>2019</v>
      </c>
      <c r="W1206" s="222"/>
      <c r="X1206" s="186"/>
      <c r="Y1206" s="178" t="str">
        <f t="shared" si="63"/>
        <v/>
      </c>
      <c r="Z1206" s="178" t="str">
        <f t="shared" si="64"/>
        <v/>
      </c>
      <c r="AA1206" s="44"/>
      <c r="AB1206" s="65"/>
    </row>
    <row r="1207" spans="1:28" hidden="1">
      <c r="A1207" s="751">
        <v>57568</v>
      </c>
      <c r="B1207" s="752" t="s">
        <v>35</v>
      </c>
      <c r="C1207" s="751" t="s">
        <v>2960</v>
      </c>
      <c r="D1207" s="752" t="s">
        <v>1271</v>
      </c>
      <c r="E1207" s="752" t="s">
        <v>1272</v>
      </c>
      <c r="F1207" s="751">
        <v>56909</v>
      </c>
      <c r="G1207" s="752" t="s">
        <v>92</v>
      </c>
      <c r="H1207" s="752" t="s">
        <v>1245</v>
      </c>
      <c r="I1207" s="752" t="s">
        <v>60</v>
      </c>
      <c r="J1207" s="751">
        <v>22</v>
      </c>
      <c r="K1207" s="751">
        <v>2</v>
      </c>
      <c r="L1207" s="752" t="s">
        <v>54</v>
      </c>
      <c r="M1207" s="752" t="s">
        <v>73</v>
      </c>
      <c r="N1207" s="752" t="s">
        <v>74</v>
      </c>
      <c r="O1207" s="752" t="s">
        <v>74</v>
      </c>
      <c r="P1207" s="752" t="s">
        <v>1238</v>
      </c>
      <c r="Q1207" s="753">
        <v>0</v>
      </c>
      <c r="R1207" s="753">
        <v>0</v>
      </c>
      <c r="S1207" s="753">
        <v>1158481</v>
      </c>
      <c r="T1207" s="753">
        <v>1158481</v>
      </c>
      <c r="U1207" s="753">
        <v>130108</v>
      </c>
      <c r="V1207" s="751">
        <v>2019</v>
      </c>
      <c r="W1207" s="222"/>
      <c r="X1207" s="186"/>
      <c r="Y1207" s="86" t="str">
        <f t="shared" si="63"/>
        <v/>
      </c>
      <c r="Z1207" s="86" t="str">
        <f t="shared" si="64"/>
        <v/>
      </c>
      <c r="AA1207" s="44"/>
      <c r="AB1207" s="65"/>
    </row>
    <row r="1208" spans="1:28" hidden="1">
      <c r="A1208" s="751">
        <v>57589</v>
      </c>
      <c r="B1208" s="752" t="s">
        <v>35</v>
      </c>
      <c r="C1208" s="751" t="s">
        <v>2960</v>
      </c>
      <c r="D1208" s="752" t="s">
        <v>1192</v>
      </c>
      <c r="E1208" s="752" t="s">
        <v>1192</v>
      </c>
      <c r="F1208" s="751">
        <v>56924</v>
      </c>
      <c r="G1208" s="752" t="s">
        <v>59</v>
      </c>
      <c r="H1208" s="752" t="s">
        <v>1244</v>
      </c>
      <c r="I1208" s="752" t="s">
        <v>60</v>
      </c>
      <c r="J1208" s="751">
        <v>22</v>
      </c>
      <c r="K1208" s="751">
        <v>2</v>
      </c>
      <c r="L1208" s="752" t="s">
        <v>54</v>
      </c>
      <c r="M1208" s="752" t="s">
        <v>468</v>
      </c>
      <c r="N1208" s="752" t="s">
        <v>469</v>
      </c>
      <c r="O1208" s="752" t="s">
        <v>469</v>
      </c>
      <c r="P1208" s="752" t="s">
        <v>1238</v>
      </c>
      <c r="Q1208" s="753">
        <v>0</v>
      </c>
      <c r="R1208" s="753">
        <v>0</v>
      </c>
      <c r="S1208" s="753">
        <v>450773</v>
      </c>
      <c r="T1208" s="753">
        <v>450773</v>
      </c>
      <c r="U1208" s="753">
        <v>50626</v>
      </c>
      <c r="V1208" s="751">
        <v>2019</v>
      </c>
      <c r="W1208" s="222"/>
      <c r="X1208" s="186"/>
      <c r="Y1208" s="86" t="str">
        <f t="shared" si="63"/>
        <v/>
      </c>
      <c r="Z1208" s="86" t="str">
        <f t="shared" si="64"/>
        <v/>
      </c>
      <c r="AA1208" s="44"/>
      <c r="AB1208" s="65"/>
    </row>
    <row r="1209" spans="1:28" hidden="1">
      <c r="A1209" s="751">
        <v>57598</v>
      </c>
      <c r="B1209" s="752" t="s">
        <v>35</v>
      </c>
      <c r="C1209" s="751" t="s">
        <v>2960</v>
      </c>
      <c r="D1209" s="752" t="s">
        <v>1193</v>
      </c>
      <c r="E1209" s="752" t="s">
        <v>385</v>
      </c>
      <c r="F1209" s="751">
        <v>4180</v>
      </c>
      <c r="G1209" s="752" t="s">
        <v>43</v>
      </c>
      <c r="H1209" s="752" t="s">
        <v>1245</v>
      </c>
      <c r="I1209" s="752" t="s">
        <v>60</v>
      </c>
      <c r="J1209" s="751">
        <v>22</v>
      </c>
      <c r="K1209" s="751">
        <v>1</v>
      </c>
      <c r="L1209" s="752" t="s">
        <v>36</v>
      </c>
      <c r="M1209" s="752" t="s">
        <v>53</v>
      </c>
      <c r="N1209" s="752" t="s">
        <v>48</v>
      </c>
      <c r="O1209" s="752" t="s">
        <v>48</v>
      </c>
      <c r="P1209" s="752" t="s">
        <v>49</v>
      </c>
      <c r="Q1209" s="753">
        <v>827</v>
      </c>
      <c r="R1209" s="753">
        <v>827</v>
      </c>
      <c r="S1209" s="753">
        <v>4815</v>
      </c>
      <c r="T1209" s="753">
        <v>4815</v>
      </c>
      <c r="U1209" s="753">
        <v>484</v>
      </c>
      <c r="V1209" s="751">
        <v>2019</v>
      </c>
      <c r="W1209" s="222"/>
      <c r="X1209" s="186"/>
      <c r="Y1209" s="178" t="str">
        <f t="shared" si="63"/>
        <v/>
      </c>
      <c r="Z1209" s="178" t="str">
        <f t="shared" si="64"/>
        <v/>
      </c>
      <c r="AA1209" s="44"/>
      <c r="AB1209" s="65"/>
    </row>
    <row r="1210" spans="1:28" hidden="1">
      <c r="A1210" s="751">
        <v>57598</v>
      </c>
      <c r="B1210" s="752" t="s">
        <v>35</v>
      </c>
      <c r="C1210" s="751" t="s">
        <v>2960</v>
      </c>
      <c r="D1210" s="752" t="s">
        <v>1193</v>
      </c>
      <c r="E1210" s="752" t="s">
        <v>385</v>
      </c>
      <c r="F1210" s="751">
        <v>4180</v>
      </c>
      <c r="G1210" s="752" t="s">
        <v>43</v>
      </c>
      <c r="H1210" s="752" t="s">
        <v>1245</v>
      </c>
      <c r="I1210" s="752" t="s">
        <v>60</v>
      </c>
      <c r="J1210" s="751">
        <v>22</v>
      </c>
      <c r="K1210" s="751">
        <v>1</v>
      </c>
      <c r="L1210" s="752" t="s">
        <v>36</v>
      </c>
      <c r="M1210" s="752" t="s">
        <v>53</v>
      </c>
      <c r="N1210" s="752" t="s">
        <v>63</v>
      </c>
      <c r="O1210" s="752" t="s">
        <v>63</v>
      </c>
      <c r="P1210" s="752" t="s">
        <v>49</v>
      </c>
      <c r="Q1210" s="753">
        <v>0</v>
      </c>
      <c r="R1210" s="753">
        <v>0</v>
      </c>
      <c r="S1210" s="753">
        <v>0</v>
      </c>
      <c r="T1210" s="753">
        <v>0</v>
      </c>
      <c r="U1210" s="753">
        <v>0</v>
      </c>
      <c r="V1210" s="751">
        <v>2019</v>
      </c>
      <c r="W1210" s="222"/>
      <c r="X1210" s="186"/>
      <c r="Y1210" s="86" t="str">
        <f t="shared" si="63"/>
        <v/>
      </c>
      <c r="Z1210" s="86" t="str">
        <f t="shared" si="64"/>
        <v/>
      </c>
      <c r="AA1210" s="44"/>
      <c r="AB1210" s="65"/>
    </row>
    <row r="1211" spans="1:28" hidden="1">
      <c r="A1211" s="751">
        <v>57599</v>
      </c>
      <c r="B1211" s="752" t="s">
        <v>35</v>
      </c>
      <c r="C1211" s="751" t="s">
        <v>2960</v>
      </c>
      <c r="D1211" s="752" t="s">
        <v>1194</v>
      </c>
      <c r="E1211" s="752" t="s">
        <v>385</v>
      </c>
      <c r="F1211" s="751">
        <v>4180</v>
      </c>
      <c r="G1211" s="752" t="s">
        <v>43</v>
      </c>
      <c r="H1211" s="752" t="s">
        <v>1245</v>
      </c>
      <c r="I1211" s="752" t="s">
        <v>60</v>
      </c>
      <c r="J1211" s="751">
        <v>22</v>
      </c>
      <c r="K1211" s="751">
        <v>1</v>
      </c>
      <c r="L1211" s="752" t="s">
        <v>36</v>
      </c>
      <c r="M1211" s="752" t="s">
        <v>53</v>
      </c>
      <c r="N1211" s="752" t="s">
        <v>48</v>
      </c>
      <c r="O1211" s="752" t="s">
        <v>48</v>
      </c>
      <c r="P1211" s="752" t="s">
        <v>49</v>
      </c>
      <c r="Q1211" s="753">
        <v>1442</v>
      </c>
      <c r="R1211" s="753">
        <v>1442</v>
      </c>
      <c r="S1211" s="753">
        <v>8391</v>
      </c>
      <c r="T1211" s="753">
        <v>8391</v>
      </c>
      <c r="U1211" s="753">
        <v>819</v>
      </c>
      <c r="V1211" s="751">
        <v>2019</v>
      </c>
      <c r="W1211" s="222"/>
      <c r="X1211" s="186">
        <f t="shared" ref="X1211:X1217" si="65">IF(OR(K1211&gt;3,T1211=0,NOT(U1211&gt;0)),"",T1211/U1211)</f>
        <v>10.245421245421245</v>
      </c>
      <c r="Y1211" s="178" t="str">
        <f t="shared" si="63"/>
        <v/>
      </c>
      <c r="Z1211" s="178" t="str">
        <f t="shared" si="64"/>
        <v/>
      </c>
      <c r="AA1211" s="44"/>
      <c r="AB1211" s="65"/>
    </row>
    <row r="1212" spans="1:28" hidden="1">
      <c r="A1212" s="751">
        <v>57600</v>
      </c>
      <c r="B1212" s="752" t="s">
        <v>35</v>
      </c>
      <c r="C1212" s="751" t="s">
        <v>2960</v>
      </c>
      <c r="D1212" s="752" t="s">
        <v>1195</v>
      </c>
      <c r="E1212" s="752" t="s">
        <v>385</v>
      </c>
      <c r="F1212" s="751">
        <v>4180</v>
      </c>
      <c r="G1212" s="752" t="s">
        <v>59</v>
      </c>
      <c r="H1212" s="752" t="s">
        <v>1244</v>
      </c>
      <c r="I1212" s="752" t="s">
        <v>60</v>
      </c>
      <c r="J1212" s="751">
        <v>22</v>
      </c>
      <c r="K1212" s="751">
        <v>1</v>
      </c>
      <c r="L1212" s="752" t="s">
        <v>36</v>
      </c>
      <c r="M1212" s="752" t="s">
        <v>53</v>
      </c>
      <c r="N1212" s="752" t="s">
        <v>48</v>
      </c>
      <c r="O1212" s="752" t="s">
        <v>48</v>
      </c>
      <c r="P1212" s="752" t="s">
        <v>49</v>
      </c>
      <c r="Q1212" s="753">
        <v>278</v>
      </c>
      <c r="R1212" s="753">
        <v>278</v>
      </c>
      <c r="S1212" s="753">
        <v>1618</v>
      </c>
      <c r="T1212" s="753">
        <v>1618</v>
      </c>
      <c r="U1212" s="753">
        <v>153</v>
      </c>
      <c r="V1212" s="751">
        <v>2019</v>
      </c>
      <c r="W1212" s="222"/>
      <c r="X1212" s="186">
        <f t="shared" si="65"/>
        <v>10.57516339869281</v>
      </c>
      <c r="Y1212" s="178" t="str">
        <f t="shared" si="63"/>
        <v/>
      </c>
      <c r="Z1212" s="178" t="str">
        <f t="shared" si="64"/>
        <v/>
      </c>
      <c r="AA1212" s="44"/>
      <c r="AB1212" s="65"/>
    </row>
    <row r="1213" spans="1:28" hidden="1">
      <c r="A1213" s="751">
        <v>57601</v>
      </c>
      <c r="B1213" s="752" t="s">
        <v>35</v>
      </c>
      <c r="C1213" s="751" t="s">
        <v>2960</v>
      </c>
      <c r="D1213" s="752" t="s">
        <v>1196</v>
      </c>
      <c r="E1213" s="752" t="s">
        <v>385</v>
      </c>
      <c r="F1213" s="751">
        <v>4180</v>
      </c>
      <c r="G1213" s="752" t="s">
        <v>43</v>
      </c>
      <c r="H1213" s="752" t="s">
        <v>1245</v>
      </c>
      <c r="I1213" s="752" t="s">
        <v>60</v>
      </c>
      <c r="J1213" s="751">
        <v>22</v>
      </c>
      <c r="K1213" s="751">
        <v>1</v>
      </c>
      <c r="L1213" s="752" t="s">
        <v>36</v>
      </c>
      <c r="M1213" s="752" t="s">
        <v>53</v>
      </c>
      <c r="N1213" s="752" t="s">
        <v>48</v>
      </c>
      <c r="O1213" s="752" t="s">
        <v>48</v>
      </c>
      <c r="P1213" s="752" t="s">
        <v>49</v>
      </c>
      <c r="Q1213" s="753">
        <v>863</v>
      </c>
      <c r="R1213" s="753">
        <v>863</v>
      </c>
      <c r="S1213" s="753">
        <v>5022</v>
      </c>
      <c r="T1213" s="753">
        <v>5022</v>
      </c>
      <c r="U1213" s="753">
        <v>490</v>
      </c>
      <c r="V1213" s="751">
        <v>2019</v>
      </c>
      <c r="W1213" s="222"/>
      <c r="X1213" s="186">
        <f t="shared" si="65"/>
        <v>10.248979591836735</v>
      </c>
      <c r="Y1213" s="178" t="str">
        <f t="shared" si="63"/>
        <v/>
      </c>
      <c r="Z1213" s="178" t="str">
        <f t="shared" si="64"/>
        <v/>
      </c>
      <c r="AA1213" s="44"/>
      <c r="AB1213" s="65"/>
    </row>
    <row r="1214" spans="1:28" hidden="1">
      <c r="A1214" s="751">
        <v>57602</v>
      </c>
      <c r="B1214" s="752" t="s">
        <v>35</v>
      </c>
      <c r="C1214" s="751" t="s">
        <v>2960</v>
      </c>
      <c r="D1214" s="752" t="s">
        <v>1197</v>
      </c>
      <c r="E1214" s="752" t="s">
        <v>385</v>
      </c>
      <c r="F1214" s="751">
        <v>4180</v>
      </c>
      <c r="G1214" s="752" t="s">
        <v>43</v>
      </c>
      <c r="H1214" s="752" t="s">
        <v>1245</v>
      </c>
      <c r="I1214" s="752" t="s">
        <v>60</v>
      </c>
      <c r="J1214" s="751">
        <v>22</v>
      </c>
      <c r="K1214" s="751">
        <v>1</v>
      </c>
      <c r="L1214" s="752" t="s">
        <v>36</v>
      </c>
      <c r="M1214" s="752" t="s">
        <v>53</v>
      </c>
      <c r="N1214" s="752" t="s">
        <v>48</v>
      </c>
      <c r="O1214" s="752" t="s">
        <v>48</v>
      </c>
      <c r="P1214" s="752" t="s">
        <v>49</v>
      </c>
      <c r="Q1214" s="753">
        <v>396</v>
      </c>
      <c r="R1214" s="753">
        <v>396</v>
      </c>
      <c r="S1214" s="753">
        <v>2305</v>
      </c>
      <c r="T1214" s="753">
        <v>2305</v>
      </c>
      <c r="U1214" s="753">
        <v>231</v>
      </c>
      <c r="V1214" s="751">
        <v>2019</v>
      </c>
      <c r="W1214" s="222"/>
      <c r="X1214" s="186">
        <f t="shared" si="65"/>
        <v>9.9783549783549788</v>
      </c>
      <c r="Y1214" s="178" t="str">
        <f t="shared" si="63"/>
        <v/>
      </c>
      <c r="Z1214" s="178" t="str">
        <f t="shared" si="64"/>
        <v/>
      </c>
      <c r="AA1214" s="44"/>
      <c r="AB1214" s="65"/>
    </row>
    <row r="1215" spans="1:28" hidden="1">
      <c r="A1215" s="751">
        <v>57603</v>
      </c>
      <c r="B1215" s="752" t="s">
        <v>35</v>
      </c>
      <c r="C1215" s="751" t="s">
        <v>2960</v>
      </c>
      <c r="D1215" s="752" t="s">
        <v>1198</v>
      </c>
      <c r="E1215" s="752" t="s">
        <v>385</v>
      </c>
      <c r="F1215" s="751">
        <v>4180</v>
      </c>
      <c r="G1215" s="752" t="s">
        <v>43</v>
      </c>
      <c r="H1215" s="752" t="s">
        <v>1245</v>
      </c>
      <c r="I1215" s="752" t="s">
        <v>60</v>
      </c>
      <c r="J1215" s="751">
        <v>22</v>
      </c>
      <c r="K1215" s="751">
        <v>1</v>
      </c>
      <c r="L1215" s="752" t="s">
        <v>36</v>
      </c>
      <c r="M1215" s="752" t="s">
        <v>53</v>
      </c>
      <c r="N1215" s="752" t="s">
        <v>48</v>
      </c>
      <c r="O1215" s="752" t="s">
        <v>48</v>
      </c>
      <c r="P1215" s="752" t="s">
        <v>49</v>
      </c>
      <c r="Q1215" s="753">
        <v>879</v>
      </c>
      <c r="R1215" s="753">
        <v>879</v>
      </c>
      <c r="S1215" s="753">
        <v>5116</v>
      </c>
      <c r="T1215" s="753">
        <v>5116</v>
      </c>
      <c r="U1215" s="753">
        <v>494</v>
      </c>
      <c r="V1215" s="751">
        <v>2019</v>
      </c>
      <c r="W1215" s="222"/>
      <c r="X1215" s="186">
        <f t="shared" si="65"/>
        <v>10.356275303643725</v>
      </c>
      <c r="Y1215" s="178" t="str">
        <f t="shared" si="63"/>
        <v/>
      </c>
      <c r="Z1215" s="178" t="str">
        <f t="shared" si="64"/>
        <v/>
      </c>
      <c r="AA1215" s="44"/>
      <c r="AB1215" s="65"/>
    </row>
    <row r="1216" spans="1:28" hidden="1">
      <c r="A1216" s="751">
        <v>57604</v>
      </c>
      <c r="B1216" s="752" t="s">
        <v>35</v>
      </c>
      <c r="C1216" s="751" t="s">
        <v>2960</v>
      </c>
      <c r="D1216" s="752" t="s">
        <v>1199</v>
      </c>
      <c r="E1216" s="752" t="s">
        <v>385</v>
      </c>
      <c r="F1216" s="751">
        <v>4180</v>
      </c>
      <c r="G1216" s="752" t="s">
        <v>43</v>
      </c>
      <c r="H1216" s="752" t="s">
        <v>1245</v>
      </c>
      <c r="I1216" s="752" t="s">
        <v>60</v>
      </c>
      <c r="J1216" s="751">
        <v>22</v>
      </c>
      <c r="K1216" s="751">
        <v>1</v>
      </c>
      <c r="L1216" s="752" t="s">
        <v>36</v>
      </c>
      <c r="M1216" s="752" t="s">
        <v>53</v>
      </c>
      <c r="N1216" s="752" t="s">
        <v>48</v>
      </c>
      <c r="O1216" s="752" t="s">
        <v>48</v>
      </c>
      <c r="P1216" s="752" t="s">
        <v>49</v>
      </c>
      <c r="Q1216" s="753">
        <v>861</v>
      </c>
      <c r="R1216" s="753">
        <v>861</v>
      </c>
      <c r="S1216" s="753">
        <v>5012</v>
      </c>
      <c r="T1216" s="753">
        <v>5012</v>
      </c>
      <c r="U1216" s="753">
        <v>510</v>
      </c>
      <c r="V1216" s="751">
        <v>2019</v>
      </c>
      <c r="W1216" s="222"/>
      <c r="X1216" s="186">
        <f t="shared" si="65"/>
        <v>9.8274509803921575</v>
      </c>
      <c r="Y1216" s="178" t="str">
        <f t="shared" si="63"/>
        <v/>
      </c>
      <c r="Z1216" s="178" t="str">
        <f t="shared" si="64"/>
        <v/>
      </c>
      <c r="AA1216" s="44"/>
      <c r="AB1216" s="65"/>
    </row>
    <row r="1217" spans="1:28" hidden="1">
      <c r="A1217" s="751">
        <v>57605</v>
      </c>
      <c r="B1217" s="752" t="s">
        <v>35</v>
      </c>
      <c r="C1217" s="751" t="s">
        <v>2960</v>
      </c>
      <c r="D1217" s="752" t="s">
        <v>1200</v>
      </c>
      <c r="E1217" s="752" t="s">
        <v>385</v>
      </c>
      <c r="F1217" s="751">
        <v>4180</v>
      </c>
      <c r="G1217" s="752" t="s">
        <v>43</v>
      </c>
      <c r="H1217" s="752" t="s">
        <v>1245</v>
      </c>
      <c r="I1217" s="752" t="s">
        <v>60</v>
      </c>
      <c r="J1217" s="751">
        <v>22</v>
      </c>
      <c r="K1217" s="751">
        <v>1</v>
      </c>
      <c r="L1217" s="752" t="s">
        <v>36</v>
      </c>
      <c r="M1217" s="752" t="s">
        <v>53</v>
      </c>
      <c r="N1217" s="752" t="s">
        <v>48</v>
      </c>
      <c r="O1217" s="752" t="s">
        <v>48</v>
      </c>
      <c r="P1217" s="752" t="s">
        <v>49</v>
      </c>
      <c r="Q1217" s="753">
        <v>864</v>
      </c>
      <c r="R1217" s="753">
        <v>864</v>
      </c>
      <c r="S1217" s="753">
        <v>5028</v>
      </c>
      <c r="T1217" s="753">
        <v>5028</v>
      </c>
      <c r="U1217" s="753">
        <v>508</v>
      </c>
      <c r="V1217" s="751">
        <v>2019</v>
      </c>
      <c r="W1217" s="222"/>
      <c r="X1217" s="186">
        <f t="shared" si="65"/>
        <v>9.8976377952755907</v>
      </c>
      <c r="Y1217" s="178" t="str">
        <f t="shared" si="63"/>
        <v/>
      </c>
      <c r="Z1217" s="178" t="str">
        <f t="shared" si="64"/>
        <v/>
      </c>
      <c r="AA1217" s="44"/>
      <c r="AB1217" s="65"/>
    </row>
    <row r="1218" spans="1:28" ht="25" hidden="1">
      <c r="A1218" s="751">
        <v>57624</v>
      </c>
      <c r="B1218" s="752" t="s">
        <v>35</v>
      </c>
      <c r="C1218" s="751" t="s">
        <v>2960</v>
      </c>
      <c r="D1218" s="752" t="s">
        <v>1201</v>
      </c>
      <c r="E1218" s="752" t="s">
        <v>1093</v>
      </c>
      <c r="F1218" s="751">
        <v>13831</v>
      </c>
      <c r="G1218" s="752" t="s">
        <v>43</v>
      </c>
      <c r="H1218" s="752" t="s">
        <v>1245</v>
      </c>
      <c r="I1218" s="752" t="s">
        <v>60</v>
      </c>
      <c r="J1218" s="751">
        <v>22132</v>
      </c>
      <c r="K1218" s="751">
        <v>4</v>
      </c>
      <c r="L1218" s="752" t="s">
        <v>422</v>
      </c>
      <c r="M1218" s="752" t="s">
        <v>53</v>
      </c>
      <c r="N1218" s="752" t="s">
        <v>48</v>
      </c>
      <c r="O1218" s="752" t="s">
        <v>48</v>
      </c>
      <c r="P1218" s="752" t="s">
        <v>49</v>
      </c>
      <c r="Q1218" s="753">
        <v>21</v>
      </c>
      <c r="R1218" s="753">
        <v>21</v>
      </c>
      <c r="S1218" s="753">
        <v>121</v>
      </c>
      <c r="T1218" s="753">
        <v>121</v>
      </c>
      <c r="U1218" s="753">
        <v>8</v>
      </c>
      <c r="V1218" s="751">
        <v>2019</v>
      </c>
      <c r="W1218" s="222"/>
      <c r="X1218" s="186"/>
      <c r="Y1218" s="178" t="str">
        <f t="shared" si="63"/>
        <v/>
      </c>
      <c r="Z1218" s="178" t="str">
        <f t="shared" si="64"/>
        <v/>
      </c>
      <c r="AA1218" s="44"/>
      <c r="AB1218" s="65"/>
    </row>
    <row r="1219" spans="1:28" ht="25" hidden="1">
      <c r="A1219" s="751">
        <v>57648</v>
      </c>
      <c r="B1219" s="752" t="s">
        <v>35</v>
      </c>
      <c r="C1219" s="751" t="s">
        <v>2960</v>
      </c>
      <c r="D1219" s="752" t="s">
        <v>1273</v>
      </c>
      <c r="E1219" s="752" t="s">
        <v>1274</v>
      </c>
      <c r="F1219" s="751">
        <v>56977</v>
      </c>
      <c r="G1219" s="752" t="s">
        <v>59</v>
      </c>
      <c r="H1219" s="752" t="s">
        <v>1244</v>
      </c>
      <c r="I1219" s="752" t="s">
        <v>60</v>
      </c>
      <c r="J1219" s="751">
        <v>339</v>
      </c>
      <c r="K1219" s="751">
        <v>6</v>
      </c>
      <c r="L1219" s="752" t="s">
        <v>420</v>
      </c>
      <c r="M1219" s="752" t="s">
        <v>73</v>
      </c>
      <c r="N1219" s="752" t="s">
        <v>74</v>
      </c>
      <c r="O1219" s="752" t="s">
        <v>74</v>
      </c>
      <c r="P1219" s="752" t="s">
        <v>1238</v>
      </c>
      <c r="Q1219" s="753">
        <v>0</v>
      </c>
      <c r="R1219" s="753">
        <v>0</v>
      </c>
      <c r="S1219" s="753">
        <v>10781</v>
      </c>
      <c r="T1219" s="753">
        <v>10781</v>
      </c>
      <c r="U1219" s="753">
        <v>1211</v>
      </c>
      <c r="V1219" s="751">
        <v>2019</v>
      </c>
      <c r="W1219" s="222"/>
      <c r="X1219" s="186"/>
      <c r="Y1219" s="178" t="str">
        <f t="shared" si="63"/>
        <v/>
      </c>
      <c r="Z1219" s="178" t="str">
        <f t="shared" si="64"/>
        <v/>
      </c>
      <c r="AA1219" s="44"/>
      <c r="AB1219" s="65"/>
    </row>
    <row r="1220" spans="1:28" hidden="1">
      <c r="A1220" s="751">
        <v>57664</v>
      </c>
      <c r="B1220" s="752" t="s">
        <v>35</v>
      </c>
      <c r="C1220" s="751" t="s">
        <v>2960</v>
      </c>
      <c r="D1220" s="752" t="s">
        <v>1202</v>
      </c>
      <c r="E1220" s="752" t="s">
        <v>1203</v>
      </c>
      <c r="F1220" s="751">
        <v>56991</v>
      </c>
      <c r="G1220" s="752" t="s">
        <v>59</v>
      </c>
      <c r="H1220" s="752" t="s">
        <v>1244</v>
      </c>
      <c r="I1220" s="752" t="s">
        <v>60</v>
      </c>
      <c r="J1220" s="751">
        <v>22</v>
      </c>
      <c r="K1220" s="751">
        <v>2</v>
      </c>
      <c r="L1220" s="752" t="s">
        <v>54</v>
      </c>
      <c r="M1220" s="752" t="s">
        <v>40</v>
      </c>
      <c r="N1220" s="752" t="s">
        <v>48</v>
      </c>
      <c r="O1220" s="752" t="s">
        <v>48</v>
      </c>
      <c r="P1220" s="752" t="s">
        <v>49</v>
      </c>
      <c r="Q1220" s="753">
        <v>0</v>
      </c>
      <c r="R1220" s="753">
        <v>0</v>
      </c>
      <c r="S1220" s="753">
        <v>0</v>
      </c>
      <c r="T1220" s="753">
        <v>0</v>
      </c>
      <c r="U1220" s="753">
        <v>17978.755000000001</v>
      </c>
      <c r="V1220" s="751">
        <v>2019</v>
      </c>
      <c r="W1220" s="222"/>
      <c r="X1220" s="186" t="str">
        <f>IF(OR(K1220&gt;3,T1220=0,NOT(U1220&gt;0)),"",T1220/U1220)</f>
        <v/>
      </c>
      <c r="Y1220" s="178" t="str">
        <f t="shared" si="63"/>
        <v/>
      </c>
      <c r="Z1220" s="178" t="str">
        <f t="shared" si="64"/>
        <v/>
      </c>
      <c r="AA1220" s="44"/>
      <c r="AB1220" s="65"/>
    </row>
    <row r="1221" spans="1:28" hidden="1">
      <c r="A1221" s="751">
        <v>57664</v>
      </c>
      <c r="B1221" s="752" t="s">
        <v>35</v>
      </c>
      <c r="C1221" s="751" t="s">
        <v>2960</v>
      </c>
      <c r="D1221" s="752" t="s">
        <v>1202</v>
      </c>
      <c r="E1221" s="752" t="s">
        <v>1203</v>
      </c>
      <c r="F1221" s="751">
        <v>56991</v>
      </c>
      <c r="G1221" s="752" t="s">
        <v>59</v>
      </c>
      <c r="H1221" s="752" t="s">
        <v>1244</v>
      </c>
      <c r="I1221" s="752" t="s">
        <v>60</v>
      </c>
      <c r="J1221" s="751">
        <v>22</v>
      </c>
      <c r="K1221" s="751">
        <v>2</v>
      </c>
      <c r="L1221" s="752" t="s">
        <v>54</v>
      </c>
      <c r="M1221" s="752" t="s">
        <v>40</v>
      </c>
      <c r="N1221" s="752" t="s">
        <v>41</v>
      </c>
      <c r="O1221" s="752" t="s">
        <v>41</v>
      </c>
      <c r="P1221" s="752" t="s">
        <v>1091</v>
      </c>
      <c r="Q1221" s="753">
        <v>629982</v>
      </c>
      <c r="R1221" s="753">
        <v>629982</v>
      </c>
      <c r="S1221" s="753">
        <v>648980</v>
      </c>
      <c r="T1221" s="753">
        <v>648980</v>
      </c>
      <c r="U1221" s="753">
        <v>1023573.2</v>
      </c>
      <c r="V1221" s="751">
        <v>2019</v>
      </c>
      <c r="W1221" s="222"/>
      <c r="X1221" s="186">
        <f>IF(OR(K1221&gt;3,T1221=0,NOT(U1221&gt;0)),"",T1221/U1221)</f>
        <v>0.6340337945542146</v>
      </c>
      <c r="Y1221" s="178" t="str">
        <f t="shared" si="63"/>
        <v/>
      </c>
      <c r="Z1221" s="178" t="str">
        <f t="shared" si="64"/>
        <v/>
      </c>
      <c r="AA1221" s="44"/>
      <c r="AB1221" s="65"/>
    </row>
    <row r="1222" spans="1:28" hidden="1">
      <c r="A1222" s="751">
        <v>57664</v>
      </c>
      <c r="B1222" s="752" t="s">
        <v>35</v>
      </c>
      <c r="C1222" s="751" t="s">
        <v>2960</v>
      </c>
      <c r="D1222" s="752" t="s">
        <v>1202</v>
      </c>
      <c r="E1222" s="752" t="s">
        <v>1203</v>
      </c>
      <c r="F1222" s="751">
        <v>56991</v>
      </c>
      <c r="G1222" s="752" t="s">
        <v>59</v>
      </c>
      <c r="H1222" s="752" t="s">
        <v>1244</v>
      </c>
      <c r="I1222" s="752" t="s">
        <v>60</v>
      </c>
      <c r="J1222" s="751">
        <v>22</v>
      </c>
      <c r="K1222" s="751">
        <v>2</v>
      </c>
      <c r="L1222" s="752" t="s">
        <v>54</v>
      </c>
      <c r="M1222" s="752" t="s">
        <v>43</v>
      </c>
      <c r="N1222" s="752" t="s">
        <v>48</v>
      </c>
      <c r="O1222" s="752" t="s">
        <v>48</v>
      </c>
      <c r="P1222" s="752" t="s">
        <v>49</v>
      </c>
      <c r="Q1222" s="753">
        <v>64325</v>
      </c>
      <c r="R1222" s="753">
        <v>64325</v>
      </c>
      <c r="S1222" s="753">
        <v>372827</v>
      </c>
      <c r="T1222" s="753">
        <v>372827</v>
      </c>
      <c r="U1222" s="753">
        <v>32709.17</v>
      </c>
      <c r="V1222" s="751">
        <v>2019</v>
      </c>
      <c r="W1222" s="222"/>
      <c r="X1222" s="186">
        <f>IF(OR(K1222&gt;3,T1222=0,NOT(U1222&gt;0)),"",T1222/U1222)</f>
        <v>11.398240921429679</v>
      </c>
      <c r="Y1222" s="178" t="str">
        <f t="shared" si="63"/>
        <v/>
      </c>
      <c r="Z1222" s="178" t="str">
        <f t="shared" si="64"/>
        <v/>
      </c>
      <c r="AA1222" s="44"/>
      <c r="AB1222" s="65"/>
    </row>
    <row r="1223" spans="1:28" hidden="1">
      <c r="A1223" s="751">
        <v>57664</v>
      </c>
      <c r="B1223" s="752" t="s">
        <v>35</v>
      </c>
      <c r="C1223" s="751" t="s">
        <v>2960</v>
      </c>
      <c r="D1223" s="752" t="s">
        <v>1202</v>
      </c>
      <c r="E1223" s="752" t="s">
        <v>1203</v>
      </c>
      <c r="F1223" s="751">
        <v>56991</v>
      </c>
      <c r="G1223" s="752" t="s">
        <v>59</v>
      </c>
      <c r="H1223" s="752" t="s">
        <v>1244</v>
      </c>
      <c r="I1223" s="752" t="s">
        <v>60</v>
      </c>
      <c r="J1223" s="751">
        <v>22</v>
      </c>
      <c r="K1223" s="751">
        <v>2</v>
      </c>
      <c r="L1223" s="752" t="s">
        <v>54</v>
      </c>
      <c r="M1223" s="752" t="s">
        <v>43</v>
      </c>
      <c r="N1223" s="752" t="s">
        <v>41</v>
      </c>
      <c r="O1223" s="752" t="s">
        <v>41</v>
      </c>
      <c r="P1223" s="752" t="s">
        <v>1091</v>
      </c>
      <c r="Q1223" s="753">
        <v>19078262</v>
      </c>
      <c r="R1223" s="753">
        <v>19078262</v>
      </c>
      <c r="S1223" s="753">
        <v>19652811</v>
      </c>
      <c r="T1223" s="753">
        <v>19652811</v>
      </c>
      <c r="U1223" s="753">
        <v>1711636.8</v>
      </c>
      <c r="V1223" s="751">
        <v>2019</v>
      </c>
      <c r="W1223" s="222"/>
      <c r="X1223" s="186"/>
      <c r="Y1223" s="178" t="str">
        <f t="shared" ref="Y1223:Y1286" si="66">IF(AND($M1223=$Y$2,$N1223=$Y$3,NOT($Q1223=$R1223),NOT($U1223=0)),IF($K1223=5,$S1223/($U1223+(8/5)*$U1223),IF($K1223=7,$S1223/($U1223+(29/25)*$U1223),"")),"")</f>
        <v/>
      </c>
      <c r="Z1223" s="178" t="str">
        <f t="shared" ref="Z1223:Z1286" si="67">IF(AND($M1223=$Y$2,$N1223=$Y$4,NOT($Q1223=$R1223),NOT($U1223=0)),IF($K1223=5,$S1223/($U1223+(8/5)*$U1223),IF($K1223=7,$S1223/($U1223+(29/25)*$U1223),"")),"")</f>
        <v/>
      </c>
      <c r="AA1223" s="44"/>
      <c r="AB1223" s="65"/>
    </row>
    <row r="1224" spans="1:28" ht="25" hidden="1">
      <c r="A1224" s="751">
        <v>57666</v>
      </c>
      <c r="B1224" s="752" t="s">
        <v>56</v>
      </c>
      <c r="C1224" s="751" t="s">
        <v>2960</v>
      </c>
      <c r="D1224" s="752" t="s">
        <v>1204</v>
      </c>
      <c r="E1224" s="752" t="s">
        <v>1205</v>
      </c>
      <c r="F1224" s="751">
        <v>56992</v>
      </c>
      <c r="G1224" s="752" t="s">
        <v>43</v>
      </c>
      <c r="H1224" s="752" t="s">
        <v>1245</v>
      </c>
      <c r="I1224" s="752" t="s">
        <v>60</v>
      </c>
      <c r="J1224" s="751">
        <v>713</v>
      </c>
      <c r="K1224" s="751">
        <v>5</v>
      </c>
      <c r="L1224" s="752" t="s">
        <v>423</v>
      </c>
      <c r="M1224" s="752" t="s">
        <v>40</v>
      </c>
      <c r="N1224" s="752" t="s">
        <v>41</v>
      </c>
      <c r="O1224" s="752" t="s">
        <v>41</v>
      </c>
      <c r="P1224" s="752" t="s">
        <v>1091</v>
      </c>
      <c r="Q1224" s="753">
        <v>0</v>
      </c>
      <c r="R1224" s="753">
        <v>0</v>
      </c>
      <c r="S1224" s="753">
        <v>0</v>
      </c>
      <c r="T1224" s="753">
        <v>0</v>
      </c>
      <c r="U1224" s="753">
        <v>23040.41</v>
      </c>
      <c r="V1224" s="751">
        <v>2019</v>
      </c>
      <c r="W1224" s="222"/>
      <c r="X1224" s="186" t="str">
        <f>IF(OR(K1224&gt;3,T1224=0,NOT(U1224&gt;0)),"",T1224/U1224)</f>
        <v/>
      </c>
      <c r="Y1224" s="178" t="str">
        <f t="shared" si="66"/>
        <v/>
      </c>
      <c r="Z1224" s="178" t="str">
        <f t="shared" si="67"/>
        <v/>
      </c>
      <c r="AA1224" s="44"/>
      <c r="AB1224" s="65"/>
    </row>
    <row r="1225" spans="1:28" ht="25" hidden="1">
      <c r="A1225" s="751">
        <v>57666</v>
      </c>
      <c r="B1225" s="752" t="s">
        <v>56</v>
      </c>
      <c r="C1225" s="751" t="s">
        <v>2960</v>
      </c>
      <c r="D1225" s="752" t="s">
        <v>1204</v>
      </c>
      <c r="E1225" s="752" t="s">
        <v>1205</v>
      </c>
      <c r="F1225" s="751">
        <v>56992</v>
      </c>
      <c r="G1225" s="752" t="s">
        <v>43</v>
      </c>
      <c r="H1225" s="752" t="s">
        <v>1245</v>
      </c>
      <c r="I1225" s="752" t="s">
        <v>60</v>
      </c>
      <c r="J1225" s="751">
        <v>713</v>
      </c>
      <c r="K1225" s="751">
        <v>5</v>
      </c>
      <c r="L1225" s="752" t="s">
        <v>423</v>
      </c>
      <c r="M1225" s="752" t="s">
        <v>43</v>
      </c>
      <c r="N1225" s="752" t="s">
        <v>41</v>
      </c>
      <c r="O1225" s="752" t="s">
        <v>41</v>
      </c>
      <c r="P1225" s="752" t="s">
        <v>1091</v>
      </c>
      <c r="Q1225" s="753">
        <v>1104666</v>
      </c>
      <c r="R1225" s="753">
        <v>657895</v>
      </c>
      <c r="S1225" s="753">
        <v>1148852</v>
      </c>
      <c r="T1225" s="753">
        <v>684211</v>
      </c>
      <c r="U1225" s="753">
        <v>103394.24000000001</v>
      </c>
      <c r="V1225" s="751">
        <v>2019</v>
      </c>
      <c r="W1225" s="222"/>
      <c r="X1225" s="186" t="str">
        <f>IF(OR(K1225&gt;3,T1225=0,NOT(U1225&gt;0)),"",T1225/U1225)</f>
        <v/>
      </c>
      <c r="Y1225" s="178" t="str">
        <f t="shared" si="66"/>
        <v/>
      </c>
      <c r="Z1225" s="178" t="str">
        <f t="shared" si="67"/>
        <v/>
      </c>
      <c r="AA1225" s="44"/>
      <c r="AB1225" s="65"/>
    </row>
    <row r="1226" spans="1:28" ht="25" hidden="1">
      <c r="A1226" s="751">
        <v>57674</v>
      </c>
      <c r="B1226" s="752" t="s">
        <v>35</v>
      </c>
      <c r="C1226" s="751" t="s">
        <v>2960</v>
      </c>
      <c r="D1226" s="752" t="s">
        <v>1206</v>
      </c>
      <c r="E1226" s="752" t="s">
        <v>1207</v>
      </c>
      <c r="F1226" s="751">
        <v>56999</v>
      </c>
      <c r="G1226" s="752" t="s">
        <v>83</v>
      </c>
      <c r="H1226" s="752" t="s">
        <v>1245</v>
      </c>
      <c r="I1226" s="752" t="s">
        <v>60</v>
      </c>
      <c r="J1226" s="751">
        <v>22</v>
      </c>
      <c r="K1226" s="751">
        <v>1</v>
      </c>
      <c r="L1226" s="752" t="s">
        <v>36</v>
      </c>
      <c r="M1226" s="752" t="s">
        <v>468</v>
      </c>
      <c r="N1226" s="752" t="s">
        <v>469</v>
      </c>
      <c r="O1226" s="752" t="s">
        <v>469</v>
      </c>
      <c r="P1226" s="752" t="s">
        <v>1238</v>
      </c>
      <c r="Q1226" s="753">
        <v>0</v>
      </c>
      <c r="R1226" s="753">
        <v>0</v>
      </c>
      <c r="S1226" s="753">
        <v>21592</v>
      </c>
      <c r="T1226" s="753">
        <v>21592</v>
      </c>
      <c r="U1226" s="753">
        <v>2425</v>
      </c>
      <c r="V1226" s="751">
        <v>2019</v>
      </c>
      <c r="W1226" s="222"/>
      <c r="X1226" s="186"/>
      <c r="Y1226" s="178" t="str">
        <f t="shared" si="66"/>
        <v/>
      </c>
      <c r="Z1226" s="178" t="str">
        <f t="shared" si="67"/>
        <v/>
      </c>
      <c r="AA1226" s="44"/>
      <c r="AB1226" s="65"/>
    </row>
    <row r="1227" spans="1:28" ht="25" hidden="1">
      <c r="A1227" s="751">
        <v>57676</v>
      </c>
      <c r="B1227" s="752" t="s">
        <v>35</v>
      </c>
      <c r="C1227" s="751" t="s">
        <v>2960</v>
      </c>
      <c r="D1227" s="752" t="s">
        <v>1208</v>
      </c>
      <c r="E1227" s="752" t="s">
        <v>1207</v>
      </c>
      <c r="F1227" s="751">
        <v>56999</v>
      </c>
      <c r="G1227" s="752" t="s">
        <v>83</v>
      </c>
      <c r="H1227" s="752" t="s">
        <v>1245</v>
      </c>
      <c r="I1227" s="752" t="s">
        <v>60</v>
      </c>
      <c r="J1227" s="751">
        <v>22</v>
      </c>
      <c r="K1227" s="751">
        <v>1</v>
      </c>
      <c r="L1227" s="752" t="s">
        <v>36</v>
      </c>
      <c r="M1227" s="752" t="s">
        <v>468</v>
      </c>
      <c r="N1227" s="752" t="s">
        <v>469</v>
      </c>
      <c r="O1227" s="752" t="s">
        <v>469</v>
      </c>
      <c r="P1227" s="752" t="s">
        <v>1238</v>
      </c>
      <c r="Q1227" s="753">
        <v>0</v>
      </c>
      <c r="R1227" s="753">
        <v>0</v>
      </c>
      <c r="S1227" s="753">
        <v>16534</v>
      </c>
      <c r="T1227" s="753">
        <v>16534</v>
      </c>
      <c r="U1227" s="753">
        <v>1857</v>
      </c>
      <c r="V1227" s="751">
        <v>2019</v>
      </c>
      <c r="W1227" s="222"/>
      <c r="X1227" s="186"/>
      <c r="Y1227" s="178" t="str">
        <f t="shared" si="66"/>
        <v/>
      </c>
      <c r="Z1227" s="178" t="str">
        <f t="shared" si="67"/>
        <v/>
      </c>
      <c r="AA1227" s="44"/>
      <c r="AB1227" s="65"/>
    </row>
    <row r="1228" spans="1:28" hidden="1">
      <c r="A1228" s="751">
        <v>57689</v>
      </c>
      <c r="B1228" s="752" t="s">
        <v>35</v>
      </c>
      <c r="C1228" s="751" t="s">
        <v>2960</v>
      </c>
      <c r="D1228" s="752" t="s">
        <v>1209</v>
      </c>
      <c r="E1228" s="752" t="s">
        <v>1210</v>
      </c>
      <c r="F1228" s="751">
        <v>57015</v>
      </c>
      <c r="G1228" s="752" t="s">
        <v>43</v>
      </c>
      <c r="H1228" s="752" t="s">
        <v>1245</v>
      </c>
      <c r="I1228" s="752" t="s">
        <v>60</v>
      </c>
      <c r="J1228" s="751">
        <v>22</v>
      </c>
      <c r="K1228" s="751">
        <v>1</v>
      </c>
      <c r="L1228" s="752" t="s">
        <v>36</v>
      </c>
      <c r="M1228" s="752" t="s">
        <v>53</v>
      </c>
      <c r="N1228" s="752" t="s">
        <v>48</v>
      </c>
      <c r="O1228" s="752" t="s">
        <v>48</v>
      </c>
      <c r="P1228" s="752" t="s">
        <v>49</v>
      </c>
      <c r="Q1228" s="753">
        <v>42</v>
      </c>
      <c r="R1228" s="753">
        <v>42</v>
      </c>
      <c r="S1228" s="753">
        <v>252</v>
      </c>
      <c r="T1228" s="753">
        <v>252</v>
      </c>
      <c r="U1228" s="753">
        <v>24</v>
      </c>
      <c r="V1228" s="751">
        <v>2019</v>
      </c>
      <c r="W1228" s="222"/>
      <c r="X1228" s="186">
        <f>IF(OR(K1228&gt;3,T1228=0,NOT(U1228&gt;0)),"",T1228/U1228)</f>
        <v>10.5</v>
      </c>
      <c r="Y1228" s="178" t="str">
        <f t="shared" si="66"/>
        <v/>
      </c>
      <c r="Z1228" s="178" t="str">
        <f t="shared" si="67"/>
        <v/>
      </c>
      <c r="AA1228" s="44"/>
      <c r="AB1228" s="65"/>
    </row>
    <row r="1229" spans="1:28" ht="25" hidden="1">
      <c r="A1229" s="751">
        <v>57710</v>
      </c>
      <c r="B1229" s="752" t="s">
        <v>35</v>
      </c>
      <c r="C1229" s="751" t="s">
        <v>2960</v>
      </c>
      <c r="D1229" s="752" t="s">
        <v>2033</v>
      </c>
      <c r="E1229" s="752" t="s">
        <v>2468</v>
      </c>
      <c r="F1229" s="751">
        <v>61978</v>
      </c>
      <c r="G1229" s="752" t="s">
        <v>59</v>
      </c>
      <c r="H1229" s="752" t="s">
        <v>1244</v>
      </c>
      <c r="I1229" s="752" t="s">
        <v>60</v>
      </c>
      <c r="J1229" s="751">
        <v>22</v>
      </c>
      <c r="K1229" s="751">
        <v>2</v>
      </c>
      <c r="L1229" s="752" t="s">
        <v>54</v>
      </c>
      <c r="M1229" s="752" t="s">
        <v>1142</v>
      </c>
      <c r="N1229" s="752" t="s">
        <v>1107</v>
      </c>
      <c r="O1229" s="752" t="s">
        <v>84</v>
      </c>
      <c r="P1229" s="752" t="s">
        <v>2961</v>
      </c>
      <c r="Q1229" s="753">
        <v>34093</v>
      </c>
      <c r="R1229" s="753">
        <v>34093</v>
      </c>
      <c r="S1229" s="753">
        <v>0</v>
      </c>
      <c r="T1229" s="753">
        <v>0</v>
      </c>
      <c r="U1229" s="753">
        <v>-11412</v>
      </c>
      <c r="V1229" s="751">
        <v>2019</v>
      </c>
      <c r="W1229" s="222"/>
      <c r="X1229" s="186" t="str">
        <f>IF(OR(K1229&gt;3,T1229=0,NOT(U1229&gt;0)),"",T1229/U1229)</f>
        <v/>
      </c>
      <c r="Y1229" s="178" t="str">
        <f t="shared" si="66"/>
        <v/>
      </c>
      <c r="Z1229" s="178" t="str">
        <f t="shared" si="67"/>
        <v/>
      </c>
      <c r="AA1229" s="44"/>
      <c r="AB1229" s="65"/>
    </row>
    <row r="1230" spans="1:28" ht="25" hidden="1">
      <c r="A1230" s="751">
        <v>57721</v>
      </c>
      <c r="B1230" s="752" t="s">
        <v>35</v>
      </c>
      <c r="C1230" s="751" t="s">
        <v>2960</v>
      </c>
      <c r="D1230" s="752" t="s">
        <v>1211</v>
      </c>
      <c r="E1230" s="752" t="s">
        <v>380</v>
      </c>
      <c r="F1230" s="751">
        <v>11806</v>
      </c>
      <c r="G1230" s="752" t="s">
        <v>83</v>
      </c>
      <c r="H1230" s="752" t="s">
        <v>1245</v>
      </c>
      <c r="I1230" s="752" t="s">
        <v>60</v>
      </c>
      <c r="J1230" s="751">
        <v>22</v>
      </c>
      <c r="K1230" s="751">
        <v>1</v>
      </c>
      <c r="L1230" s="752" t="s">
        <v>36</v>
      </c>
      <c r="M1230" s="752" t="s">
        <v>73</v>
      </c>
      <c r="N1230" s="752" t="s">
        <v>74</v>
      </c>
      <c r="O1230" s="752" t="s">
        <v>74</v>
      </c>
      <c r="P1230" s="752" t="s">
        <v>1238</v>
      </c>
      <c r="Q1230" s="753">
        <v>0</v>
      </c>
      <c r="R1230" s="753">
        <v>0</v>
      </c>
      <c r="S1230" s="753">
        <v>337097</v>
      </c>
      <c r="T1230" s="753">
        <v>337097</v>
      </c>
      <c r="U1230" s="753">
        <v>37859</v>
      </c>
      <c r="V1230" s="751">
        <v>2019</v>
      </c>
      <c r="W1230" s="222"/>
      <c r="X1230" s="186"/>
      <c r="Y1230" s="178" t="str">
        <f t="shared" si="66"/>
        <v/>
      </c>
      <c r="Z1230" s="178" t="str">
        <f t="shared" si="67"/>
        <v/>
      </c>
      <c r="AA1230" s="44"/>
      <c r="AB1230" s="65"/>
    </row>
    <row r="1231" spans="1:28" ht="25" hidden="1">
      <c r="A1231" s="751">
        <v>57789</v>
      </c>
      <c r="B1231" s="752" t="s">
        <v>56</v>
      </c>
      <c r="C1231" s="751" t="s">
        <v>2960</v>
      </c>
      <c r="D1231" s="752" t="s">
        <v>1212</v>
      </c>
      <c r="E1231" s="752" t="s">
        <v>1213</v>
      </c>
      <c r="F1231" s="751">
        <v>57106</v>
      </c>
      <c r="G1231" s="752" t="s">
        <v>59</v>
      </c>
      <c r="H1231" s="752" t="s">
        <v>1244</v>
      </c>
      <c r="I1231" s="752" t="s">
        <v>60</v>
      </c>
      <c r="J1231" s="751">
        <v>53</v>
      </c>
      <c r="K1231" s="751">
        <v>5</v>
      </c>
      <c r="L1231" s="752" t="s">
        <v>423</v>
      </c>
      <c r="M1231" s="752" t="s">
        <v>53</v>
      </c>
      <c r="N1231" s="752" t="s">
        <v>41</v>
      </c>
      <c r="O1231" s="752" t="s">
        <v>41</v>
      </c>
      <c r="P1231" s="752" t="s">
        <v>1091</v>
      </c>
      <c r="Q1231" s="753">
        <v>130386</v>
      </c>
      <c r="R1231" s="753">
        <v>63196</v>
      </c>
      <c r="S1231" s="753">
        <v>134165</v>
      </c>
      <c r="T1231" s="753">
        <v>65030</v>
      </c>
      <c r="U1231" s="753">
        <v>11770</v>
      </c>
      <c r="V1231" s="751">
        <v>2019</v>
      </c>
      <c r="W1231" s="222"/>
      <c r="X1231" s="186"/>
      <c r="Y1231" s="178" t="str">
        <f t="shared" si="66"/>
        <v/>
      </c>
      <c r="Z1231" s="178" t="str">
        <f t="shared" si="67"/>
        <v/>
      </c>
      <c r="AA1231" s="44"/>
      <c r="AB1231" s="65"/>
    </row>
    <row r="1232" spans="1:28" ht="25" hidden="1">
      <c r="A1232" s="751">
        <v>57798</v>
      </c>
      <c r="B1232" s="752" t="s">
        <v>56</v>
      </c>
      <c r="C1232" s="751" t="s">
        <v>2960</v>
      </c>
      <c r="D1232" s="752" t="s">
        <v>1214</v>
      </c>
      <c r="E1232" s="752" t="s">
        <v>1215</v>
      </c>
      <c r="F1232" s="751">
        <v>57120</v>
      </c>
      <c r="G1232" s="752" t="s">
        <v>59</v>
      </c>
      <c r="H1232" s="752" t="s">
        <v>1244</v>
      </c>
      <c r="I1232" s="752" t="s">
        <v>1216</v>
      </c>
      <c r="J1232" s="751">
        <v>53</v>
      </c>
      <c r="K1232" s="751">
        <v>5</v>
      </c>
      <c r="L1232" s="752" t="s">
        <v>423</v>
      </c>
      <c r="M1232" s="752" t="s">
        <v>52</v>
      </c>
      <c r="N1232" s="752" t="s">
        <v>41</v>
      </c>
      <c r="O1232" s="752" t="s">
        <v>41</v>
      </c>
      <c r="P1232" s="752" t="s">
        <v>1091</v>
      </c>
      <c r="Q1232" s="753">
        <v>367874</v>
      </c>
      <c r="R1232" s="753">
        <v>162576</v>
      </c>
      <c r="S1232" s="753">
        <v>378911</v>
      </c>
      <c r="T1232" s="753">
        <v>167453</v>
      </c>
      <c r="U1232" s="753">
        <v>29422</v>
      </c>
      <c r="V1232" s="751">
        <v>2019</v>
      </c>
      <c r="W1232" s="222"/>
      <c r="X1232" s="186" t="str">
        <f>IF(OR(K1232&gt;3,T1232=0,NOT(U1232&gt;0)),"",T1232/U1232)</f>
        <v/>
      </c>
      <c r="Y1232" s="178">
        <f t="shared" si="66"/>
        <v>4.9532662633403568</v>
      </c>
      <c r="Z1232" s="178" t="str">
        <f t="shared" si="67"/>
        <v/>
      </c>
      <c r="AA1232" s="44"/>
      <c r="AB1232" s="65"/>
    </row>
    <row r="1233" spans="1:28" ht="25" hidden="1">
      <c r="A1233" s="751">
        <v>57804</v>
      </c>
      <c r="B1233" s="752" t="s">
        <v>56</v>
      </c>
      <c r="C1233" s="751" t="s">
        <v>2960</v>
      </c>
      <c r="D1233" s="752" t="s">
        <v>1217</v>
      </c>
      <c r="E1233" s="752" t="s">
        <v>1218</v>
      </c>
      <c r="F1233" s="751">
        <v>57123</v>
      </c>
      <c r="G1233" s="752" t="s">
        <v>91</v>
      </c>
      <c r="H1233" s="752" t="s">
        <v>1245</v>
      </c>
      <c r="I1233" s="752" t="s">
        <v>60</v>
      </c>
      <c r="J1233" s="751">
        <v>611</v>
      </c>
      <c r="K1233" s="751">
        <v>5</v>
      </c>
      <c r="L1233" s="752" t="s">
        <v>423</v>
      </c>
      <c r="M1233" s="752" t="s">
        <v>44</v>
      </c>
      <c r="N1233" s="752" t="s">
        <v>48</v>
      </c>
      <c r="O1233" s="752" t="s">
        <v>48</v>
      </c>
      <c r="P1233" s="752" t="s">
        <v>49</v>
      </c>
      <c r="Q1233" s="753">
        <v>202</v>
      </c>
      <c r="R1233" s="753">
        <v>11</v>
      </c>
      <c r="S1233" s="753">
        <v>1173</v>
      </c>
      <c r="T1233" s="753">
        <v>69</v>
      </c>
      <c r="U1233" s="753">
        <v>15.03</v>
      </c>
      <c r="V1233" s="751">
        <v>2019</v>
      </c>
      <c r="W1233" s="222"/>
      <c r="X1233" s="186" t="str">
        <f>IF(OR(K1233&gt;3,T1233=0,NOT(U1233&gt;0)),"",T1233/U1233)</f>
        <v/>
      </c>
      <c r="Y1233" s="178" t="str">
        <f t="shared" si="66"/>
        <v/>
      </c>
      <c r="Z1233" s="178" t="str">
        <f t="shared" si="67"/>
        <v/>
      </c>
      <c r="AA1233" s="44"/>
      <c r="AB1233" s="65"/>
    </row>
    <row r="1234" spans="1:28" ht="25" hidden="1">
      <c r="A1234" s="751">
        <v>57804</v>
      </c>
      <c r="B1234" s="752" t="s">
        <v>56</v>
      </c>
      <c r="C1234" s="751" t="s">
        <v>2960</v>
      </c>
      <c r="D1234" s="752" t="s">
        <v>1217</v>
      </c>
      <c r="E1234" s="752" t="s">
        <v>1218</v>
      </c>
      <c r="F1234" s="751">
        <v>57123</v>
      </c>
      <c r="G1234" s="752" t="s">
        <v>91</v>
      </c>
      <c r="H1234" s="752" t="s">
        <v>1245</v>
      </c>
      <c r="I1234" s="752" t="s">
        <v>60</v>
      </c>
      <c r="J1234" s="751">
        <v>611</v>
      </c>
      <c r="K1234" s="751">
        <v>5</v>
      </c>
      <c r="L1234" s="752" t="s">
        <v>423</v>
      </c>
      <c r="M1234" s="752" t="s">
        <v>44</v>
      </c>
      <c r="N1234" s="752" t="s">
        <v>41</v>
      </c>
      <c r="O1234" s="752" t="s">
        <v>41</v>
      </c>
      <c r="P1234" s="752" t="s">
        <v>1091</v>
      </c>
      <c r="Q1234" s="753">
        <v>82622</v>
      </c>
      <c r="R1234" s="753">
        <v>4911</v>
      </c>
      <c r="S1234" s="753">
        <v>82622</v>
      </c>
      <c r="T1234" s="753">
        <v>4911</v>
      </c>
      <c r="U1234" s="753">
        <v>1061.183</v>
      </c>
      <c r="V1234" s="751">
        <v>2019</v>
      </c>
      <c r="W1234" s="222"/>
      <c r="X1234" s="186"/>
      <c r="Y1234" s="178" t="str">
        <f t="shared" si="66"/>
        <v/>
      </c>
      <c r="Z1234" s="178" t="str">
        <f t="shared" si="67"/>
        <v/>
      </c>
      <c r="AA1234" s="44"/>
      <c r="AB1234" s="65"/>
    </row>
    <row r="1235" spans="1:28" ht="25" hidden="1">
      <c r="A1235" s="751">
        <v>57804</v>
      </c>
      <c r="B1235" s="752" t="s">
        <v>56</v>
      </c>
      <c r="C1235" s="751" t="s">
        <v>2960</v>
      </c>
      <c r="D1235" s="752" t="s">
        <v>1217</v>
      </c>
      <c r="E1235" s="752" t="s">
        <v>1218</v>
      </c>
      <c r="F1235" s="751">
        <v>57123</v>
      </c>
      <c r="G1235" s="752" t="s">
        <v>91</v>
      </c>
      <c r="H1235" s="752" t="s">
        <v>1245</v>
      </c>
      <c r="I1235" s="752" t="s">
        <v>60</v>
      </c>
      <c r="J1235" s="751">
        <v>611</v>
      </c>
      <c r="K1235" s="751">
        <v>5</v>
      </c>
      <c r="L1235" s="752" t="s">
        <v>423</v>
      </c>
      <c r="M1235" s="752" t="s">
        <v>44</v>
      </c>
      <c r="N1235" s="752" t="s">
        <v>63</v>
      </c>
      <c r="O1235" s="752" t="s">
        <v>63</v>
      </c>
      <c r="P1235" s="752" t="s">
        <v>49</v>
      </c>
      <c r="Q1235" s="753">
        <v>0</v>
      </c>
      <c r="R1235" s="753">
        <v>0</v>
      </c>
      <c r="S1235" s="753">
        <v>0</v>
      </c>
      <c r="T1235" s="753">
        <v>0</v>
      </c>
      <c r="U1235" s="753">
        <v>0</v>
      </c>
      <c r="V1235" s="751">
        <v>2019</v>
      </c>
      <c r="W1235" s="222"/>
      <c r="X1235" s="186" t="str">
        <f>IF(OR(K1235&gt;3,T1235=0,NOT(U1235&gt;0)),"",T1235/U1235)</f>
        <v/>
      </c>
      <c r="Y1235" s="178" t="str">
        <f t="shared" si="66"/>
        <v/>
      </c>
      <c r="Z1235" s="178" t="str">
        <f t="shared" si="67"/>
        <v/>
      </c>
      <c r="AA1235" s="44"/>
      <c r="AB1235" s="65"/>
    </row>
    <row r="1236" spans="1:28" ht="25" hidden="1">
      <c r="A1236" s="751">
        <v>57804</v>
      </c>
      <c r="B1236" s="752" t="s">
        <v>56</v>
      </c>
      <c r="C1236" s="751" t="s">
        <v>2960</v>
      </c>
      <c r="D1236" s="752" t="s">
        <v>1217</v>
      </c>
      <c r="E1236" s="752" t="s">
        <v>1218</v>
      </c>
      <c r="F1236" s="751">
        <v>57123</v>
      </c>
      <c r="G1236" s="752" t="s">
        <v>91</v>
      </c>
      <c r="H1236" s="752" t="s">
        <v>1245</v>
      </c>
      <c r="I1236" s="752" t="s">
        <v>60</v>
      </c>
      <c r="J1236" s="751">
        <v>611</v>
      </c>
      <c r="K1236" s="751">
        <v>5</v>
      </c>
      <c r="L1236" s="752" t="s">
        <v>423</v>
      </c>
      <c r="M1236" s="752" t="s">
        <v>44</v>
      </c>
      <c r="N1236" s="752" t="s">
        <v>71</v>
      </c>
      <c r="O1236" s="752" t="s">
        <v>72</v>
      </c>
      <c r="P1236" s="752" t="s">
        <v>47</v>
      </c>
      <c r="Q1236" s="753">
        <v>20758</v>
      </c>
      <c r="R1236" s="753">
        <v>1247</v>
      </c>
      <c r="S1236" s="753">
        <v>178520</v>
      </c>
      <c r="T1236" s="753">
        <v>10733</v>
      </c>
      <c r="U1236" s="753">
        <v>2318.7869999999998</v>
      </c>
      <c r="V1236" s="751">
        <v>2019</v>
      </c>
      <c r="W1236" s="222"/>
      <c r="X1236" s="186"/>
      <c r="Y1236" s="86" t="str">
        <f t="shared" si="66"/>
        <v/>
      </c>
      <c r="Z1236" s="86" t="str">
        <f t="shared" si="67"/>
        <v/>
      </c>
      <c r="AA1236" s="44"/>
      <c r="AB1236" s="65"/>
    </row>
    <row r="1237" spans="1:28" ht="25" hidden="1">
      <c r="A1237" s="751">
        <v>57838</v>
      </c>
      <c r="B1237" s="752" t="s">
        <v>35</v>
      </c>
      <c r="C1237" s="751" t="s">
        <v>2960</v>
      </c>
      <c r="D1237" s="752" t="s">
        <v>1275</v>
      </c>
      <c r="E1237" s="752" t="s">
        <v>1189</v>
      </c>
      <c r="F1237" s="751">
        <v>56769</v>
      </c>
      <c r="G1237" s="752" t="s">
        <v>83</v>
      </c>
      <c r="H1237" s="752" t="s">
        <v>1245</v>
      </c>
      <c r="I1237" s="752" t="s">
        <v>60</v>
      </c>
      <c r="J1237" s="751">
        <v>22</v>
      </c>
      <c r="K1237" s="751">
        <v>2</v>
      </c>
      <c r="L1237" s="752" t="s">
        <v>54</v>
      </c>
      <c r="M1237" s="752" t="s">
        <v>468</v>
      </c>
      <c r="N1237" s="752" t="s">
        <v>469</v>
      </c>
      <c r="O1237" s="752" t="s">
        <v>469</v>
      </c>
      <c r="P1237" s="752" t="s">
        <v>1238</v>
      </c>
      <c r="Q1237" s="753">
        <v>0</v>
      </c>
      <c r="R1237" s="753">
        <v>0</v>
      </c>
      <c r="S1237" s="753">
        <v>30780</v>
      </c>
      <c r="T1237" s="753">
        <v>30780</v>
      </c>
      <c r="U1237" s="753">
        <v>3457</v>
      </c>
      <c r="V1237" s="751">
        <v>2019</v>
      </c>
      <c r="W1237" s="222"/>
      <c r="X1237" s="186"/>
      <c r="Y1237" s="178" t="str">
        <f t="shared" si="66"/>
        <v/>
      </c>
      <c r="Z1237" s="178" t="str">
        <f t="shared" si="67"/>
        <v/>
      </c>
      <c r="AA1237" s="44"/>
      <c r="AB1237" s="65"/>
    </row>
    <row r="1238" spans="1:28" hidden="1">
      <c r="A1238" s="751">
        <v>57855</v>
      </c>
      <c r="B1238" s="752" t="s">
        <v>35</v>
      </c>
      <c r="C1238" s="751" t="s">
        <v>2960</v>
      </c>
      <c r="D1238" s="752" t="s">
        <v>1219</v>
      </c>
      <c r="E1238" s="752" t="s">
        <v>1251</v>
      </c>
      <c r="F1238" s="751">
        <v>9442</v>
      </c>
      <c r="G1238" s="752" t="s">
        <v>83</v>
      </c>
      <c r="H1238" s="752" t="s">
        <v>1245</v>
      </c>
      <c r="I1238" s="752" t="s">
        <v>60</v>
      </c>
      <c r="J1238" s="751">
        <v>22</v>
      </c>
      <c r="K1238" s="751">
        <v>1</v>
      </c>
      <c r="L1238" s="752" t="s">
        <v>36</v>
      </c>
      <c r="M1238" s="752" t="s">
        <v>73</v>
      </c>
      <c r="N1238" s="752" t="s">
        <v>74</v>
      </c>
      <c r="O1238" s="752" t="s">
        <v>74</v>
      </c>
      <c r="P1238" s="752" t="s">
        <v>1238</v>
      </c>
      <c r="Q1238" s="753">
        <v>0</v>
      </c>
      <c r="R1238" s="753">
        <v>0</v>
      </c>
      <c r="S1238" s="753">
        <v>34735</v>
      </c>
      <c r="T1238" s="753">
        <v>34735</v>
      </c>
      <c r="U1238" s="753">
        <v>3901</v>
      </c>
      <c r="V1238" s="751">
        <v>2019</v>
      </c>
      <c r="W1238" s="222"/>
      <c r="X1238" s="186"/>
      <c r="Y1238" s="178" t="str">
        <f t="shared" si="66"/>
        <v/>
      </c>
      <c r="Z1238" s="178" t="str">
        <f t="shared" si="67"/>
        <v/>
      </c>
      <c r="AA1238" s="44"/>
      <c r="AB1238" s="65"/>
    </row>
    <row r="1239" spans="1:28" hidden="1">
      <c r="A1239" s="751">
        <v>57867</v>
      </c>
      <c r="B1239" s="752" t="s">
        <v>35</v>
      </c>
      <c r="C1239" s="751" t="s">
        <v>2960</v>
      </c>
      <c r="D1239" s="752" t="s">
        <v>1220</v>
      </c>
      <c r="E1239" s="752" t="s">
        <v>2976</v>
      </c>
      <c r="F1239" s="751">
        <v>56215</v>
      </c>
      <c r="G1239" s="752" t="s">
        <v>59</v>
      </c>
      <c r="H1239" s="752" t="s">
        <v>1244</v>
      </c>
      <c r="I1239" s="752" t="s">
        <v>60</v>
      </c>
      <c r="J1239" s="751">
        <v>22</v>
      </c>
      <c r="K1239" s="751">
        <v>2</v>
      </c>
      <c r="L1239" s="752" t="s">
        <v>54</v>
      </c>
      <c r="M1239" s="752" t="s">
        <v>73</v>
      </c>
      <c r="N1239" s="752" t="s">
        <v>74</v>
      </c>
      <c r="O1239" s="752" t="s">
        <v>74</v>
      </c>
      <c r="P1239" s="752" t="s">
        <v>1238</v>
      </c>
      <c r="Q1239" s="753">
        <v>0</v>
      </c>
      <c r="R1239" s="753">
        <v>0</v>
      </c>
      <c r="S1239" s="753">
        <v>1149712</v>
      </c>
      <c r="T1239" s="753">
        <v>1149712</v>
      </c>
      <c r="U1239" s="753">
        <v>129123</v>
      </c>
      <c r="V1239" s="751">
        <v>2019</v>
      </c>
      <c r="W1239" s="222"/>
      <c r="X1239" s="186"/>
      <c r="Y1239" s="86" t="str">
        <f t="shared" si="66"/>
        <v/>
      </c>
      <c r="Z1239" s="86" t="str">
        <f t="shared" si="67"/>
        <v/>
      </c>
      <c r="AA1239" s="44"/>
      <c r="AB1239" s="65"/>
    </row>
    <row r="1240" spans="1:28" ht="25" hidden="1">
      <c r="A1240" s="751">
        <v>57931</v>
      </c>
      <c r="B1240" s="752" t="s">
        <v>35</v>
      </c>
      <c r="C1240" s="751" t="s">
        <v>2960</v>
      </c>
      <c r="D1240" s="752" t="s">
        <v>1221</v>
      </c>
      <c r="E1240" s="752" t="s">
        <v>1222</v>
      </c>
      <c r="F1240" s="751">
        <v>57309</v>
      </c>
      <c r="G1240" s="752" t="s">
        <v>83</v>
      </c>
      <c r="H1240" s="752" t="s">
        <v>1245</v>
      </c>
      <c r="I1240" s="752" t="s">
        <v>60</v>
      </c>
      <c r="J1240" s="751">
        <v>22</v>
      </c>
      <c r="K1240" s="751">
        <v>2</v>
      </c>
      <c r="L1240" s="752" t="s">
        <v>54</v>
      </c>
      <c r="M1240" s="752" t="s">
        <v>468</v>
      </c>
      <c r="N1240" s="752" t="s">
        <v>469</v>
      </c>
      <c r="O1240" s="752" t="s">
        <v>469</v>
      </c>
      <c r="P1240" s="752" t="s">
        <v>1238</v>
      </c>
      <c r="Q1240" s="753">
        <v>0</v>
      </c>
      <c r="R1240" s="753">
        <v>0</v>
      </c>
      <c r="S1240" s="753">
        <v>35099</v>
      </c>
      <c r="T1240" s="753">
        <v>35099</v>
      </c>
      <c r="U1240" s="753">
        <v>3942</v>
      </c>
      <c r="V1240" s="751">
        <v>2019</v>
      </c>
      <c r="W1240" s="222"/>
      <c r="X1240" s="186"/>
      <c r="Y1240" s="86" t="str">
        <f t="shared" si="66"/>
        <v/>
      </c>
      <c r="Z1240" s="86" t="str">
        <f t="shared" si="67"/>
        <v/>
      </c>
      <c r="AA1240" s="44"/>
      <c r="AB1240" s="65"/>
    </row>
    <row r="1241" spans="1:28" s="154" customFormat="1" ht="25" hidden="1">
      <c r="A1241" s="751">
        <v>57934</v>
      </c>
      <c r="B1241" s="752" t="s">
        <v>35</v>
      </c>
      <c r="C1241" s="751" t="s">
        <v>2960</v>
      </c>
      <c r="D1241" s="752" t="s">
        <v>1276</v>
      </c>
      <c r="E1241" s="752" t="s">
        <v>1189</v>
      </c>
      <c r="F1241" s="751">
        <v>56769</v>
      </c>
      <c r="G1241" s="752" t="s">
        <v>83</v>
      </c>
      <c r="H1241" s="752" t="s">
        <v>1245</v>
      </c>
      <c r="I1241" s="752" t="s">
        <v>60</v>
      </c>
      <c r="J1241" s="751">
        <v>22</v>
      </c>
      <c r="K1241" s="751">
        <v>2</v>
      </c>
      <c r="L1241" s="752" t="s">
        <v>54</v>
      </c>
      <c r="M1241" s="752" t="s">
        <v>468</v>
      </c>
      <c r="N1241" s="752" t="s">
        <v>469</v>
      </c>
      <c r="O1241" s="752" t="s">
        <v>469</v>
      </c>
      <c r="P1241" s="752" t="s">
        <v>1238</v>
      </c>
      <c r="Q1241" s="753">
        <v>0</v>
      </c>
      <c r="R1241" s="753">
        <v>0</v>
      </c>
      <c r="S1241" s="753">
        <v>28502</v>
      </c>
      <c r="T1241" s="753">
        <v>28502</v>
      </c>
      <c r="U1241" s="753">
        <v>3201</v>
      </c>
      <c r="V1241" s="751">
        <v>2019</v>
      </c>
      <c r="W1241" s="222"/>
      <c r="X1241" s="186"/>
      <c r="Y1241" s="178" t="str">
        <f t="shared" si="66"/>
        <v/>
      </c>
      <c r="Z1241" s="178" t="str">
        <f t="shared" si="67"/>
        <v/>
      </c>
      <c r="AA1241" s="44"/>
      <c r="AB1241" s="179"/>
    </row>
    <row r="1242" spans="1:28" ht="25" hidden="1">
      <c r="A1242" s="751">
        <v>57941</v>
      </c>
      <c r="B1242" s="752" t="s">
        <v>35</v>
      </c>
      <c r="C1242" s="751" t="s">
        <v>2960</v>
      </c>
      <c r="D1242" s="752" t="s">
        <v>1277</v>
      </c>
      <c r="E1242" s="752" t="s">
        <v>1278</v>
      </c>
      <c r="F1242" s="751">
        <v>57318</v>
      </c>
      <c r="G1242" s="752" t="s">
        <v>83</v>
      </c>
      <c r="H1242" s="752" t="s">
        <v>1245</v>
      </c>
      <c r="I1242" s="752" t="s">
        <v>60</v>
      </c>
      <c r="J1242" s="751">
        <v>22</v>
      </c>
      <c r="K1242" s="751">
        <v>2</v>
      </c>
      <c r="L1242" s="752" t="s">
        <v>54</v>
      </c>
      <c r="M1242" s="752" t="s">
        <v>468</v>
      </c>
      <c r="N1242" s="752" t="s">
        <v>469</v>
      </c>
      <c r="O1242" s="752" t="s">
        <v>469</v>
      </c>
      <c r="P1242" s="752" t="s">
        <v>1238</v>
      </c>
      <c r="Q1242" s="753">
        <v>0</v>
      </c>
      <c r="R1242" s="753">
        <v>0</v>
      </c>
      <c r="S1242" s="753">
        <v>25039</v>
      </c>
      <c r="T1242" s="753">
        <v>25039</v>
      </c>
      <c r="U1242" s="753">
        <v>2812</v>
      </c>
      <c r="V1242" s="751">
        <v>2019</v>
      </c>
      <c r="W1242" s="222"/>
      <c r="X1242" s="186"/>
      <c r="Y1242" s="178" t="str">
        <f t="shared" si="66"/>
        <v/>
      </c>
      <c r="Z1242" s="178" t="str">
        <f t="shared" si="67"/>
        <v/>
      </c>
      <c r="AA1242" s="44"/>
      <c r="AB1242" s="65"/>
    </row>
    <row r="1243" spans="1:28" ht="25" hidden="1">
      <c r="A1243" s="751">
        <v>57942</v>
      </c>
      <c r="B1243" s="752" t="s">
        <v>35</v>
      </c>
      <c r="C1243" s="751" t="s">
        <v>2960</v>
      </c>
      <c r="D1243" s="752" t="s">
        <v>1279</v>
      </c>
      <c r="E1243" s="752" t="s">
        <v>1280</v>
      </c>
      <c r="F1243" s="751">
        <v>57319</v>
      </c>
      <c r="G1243" s="752" t="s">
        <v>83</v>
      </c>
      <c r="H1243" s="752" t="s">
        <v>1245</v>
      </c>
      <c r="I1243" s="752" t="s">
        <v>60</v>
      </c>
      <c r="J1243" s="751">
        <v>22</v>
      </c>
      <c r="K1243" s="751">
        <v>2</v>
      </c>
      <c r="L1243" s="752" t="s">
        <v>54</v>
      </c>
      <c r="M1243" s="752" t="s">
        <v>468</v>
      </c>
      <c r="N1243" s="752" t="s">
        <v>469</v>
      </c>
      <c r="O1243" s="752" t="s">
        <v>469</v>
      </c>
      <c r="P1243" s="752" t="s">
        <v>1238</v>
      </c>
      <c r="Q1243" s="753">
        <v>0</v>
      </c>
      <c r="R1243" s="753">
        <v>0</v>
      </c>
      <c r="S1243" s="753">
        <v>17426</v>
      </c>
      <c r="T1243" s="753">
        <v>17426</v>
      </c>
      <c r="U1243" s="753">
        <v>1957</v>
      </c>
      <c r="V1243" s="751">
        <v>2019</v>
      </c>
      <c r="W1243" s="222"/>
      <c r="X1243" s="186"/>
      <c r="Y1243" s="178" t="str">
        <f t="shared" si="66"/>
        <v/>
      </c>
      <c r="Z1243" s="178" t="str">
        <f t="shared" si="67"/>
        <v/>
      </c>
      <c r="AA1243" s="44"/>
      <c r="AB1243" s="65"/>
    </row>
    <row r="1244" spans="1:28" hidden="1">
      <c r="A1244" s="751">
        <v>57979</v>
      </c>
      <c r="B1244" s="752" t="s">
        <v>35</v>
      </c>
      <c r="C1244" s="751" t="s">
        <v>2960</v>
      </c>
      <c r="D1244" s="752" t="s">
        <v>1281</v>
      </c>
      <c r="E1244" s="752" t="s">
        <v>137</v>
      </c>
      <c r="F1244" s="751">
        <v>7601</v>
      </c>
      <c r="G1244" s="752" t="s">
        <v>91</v>
      </c>
      <c r="H1244" s="752" t="s">
        <v>1245</v>
      </c>
      <c r="I1244" s="752" t="s">
        <v>60</v>
      </c>
      <c r="J1244" s="751">
        <v>22</v>
      </c>
      <c r="K1244" s="751">
        <v>1</v>
      </c>
      <c r="L1244" s="752" t="s">
        <v>36</v>
      </c>
      <c r="M1244" s="752" t="s">
        <v>73</v>
      </c>
      <c r="N1244" s="752" t="s">
        <v>74</v>
      </c>
      <c r="O1244" s="752" t="s">
        <v>74</v>
      </c>
      <c r="P1244" s="752" t="s">
        <v>1238</v>
      </c>
      <c r="Q1244" s="753">
        <v>0</v>
      </c>
      <c r="R1244" s="753">
        <v>0</v>
      </c>
      <c r="S1244" s="753">
        <v>1413717</v>
      </c>
      <c r="T1244" s="753">
        <v>1413717</v>
      </c>
      <c r="U1244" s="753">
        <v>158773</v>
      </c>
      <c r="V1244" s="751">
        <v>2019</v>
      </c>
      <c r="W1244" s="222"/>
      <c r="X1244" s="186"/>
      <c r="Y1244" s="178" t="str">
        <f t="shared" si="66"/>
        <v/>
      </c>
      <c r="Z1244" s="178" t="str">
        <f t="shared" si="67"/>
        <v/>
      </c>
      <c r="AA1244" s="44"/>
      <c r="AB1244" s="65"/>
    </row>
    <row r="1245" spans="1:28" ht="25" hidden="1">
      <c r="A1245" s="751">
        <v>57989</v>
      </c>
      <c r="B1245" s="752" t="s">
        <v>35</v>
      </c>
      <c r="C1245" s="751" t="s">
        <v>2960</v>
      </c>
      <c r="D1245" s="752" t="s">
        <v>1282</v>
      </c>
      <c r="E1245" s="752" t="s">
        <v>1189</v>
      </c>
      <c r="F1245" s="751">
        <v>56769</v>
      </c>
      <c r="G1245" s="752" t="s">
        <v>83</v>
      </c>
      <c r="H1245" s="752" t="s">
        <v>1245</v>
      </c>
      <c r="I1245" s="752" t="s">
        <v>60</v>
      </c>
      <c r="J1245" s="751">
        <v>22</v>
      </c>
      <c r="K1245" s="751">
        <v>2</v>
      </c>
      <c r="L1245" s="752" t="s">
        <v>54</v>
      </c>
      <c r="M1245" s="752" t="s">
        <v>468</v>
      </c>
      <c r="N1245" s="752" t="s">
        <v>469</v>
      </c>
      <c r="O1245" s="752" t="s">
        <v>469</v>
      </c>
      <c r="P1245" s="752" t="s">
        <v>1238</v>
      </c>
      <c r="Q1245" s="753">
        <v>0</v>
      </c>
      <c r="R1245" s="753">
        <v>0</v>
      </c>
      <c r="S1245" s="753">
        <v>40023</v>
      </c>
      <c r="T1245" s="753">
        <v>40023</v>
      </c>
      <c r="U1245" s="753">
        <v>4495</v>
      </c>
      <c r="V1245" s="751">
        <v>2019</v>
      </c>
      <c r="W1245" s="222"/>
      <c r="X1245" s="186"/>
      <c r="Y1245" s="86" t="str">
        <f t="shared" si="66"/>
        <v/>
      </c>
      <c r="Z1245" s="86" t="str">
        <f t="shared" si="67"/>
        <v/>
      </c>
      <c r="AA1245" s="44"/>
      <c r="AB1245" s="65"/>
    </row>
    <row r="1246" spans="1:28" ht="25" hidden="1">
      <c r="A1246" s="751">
        <v>57990</v>
      </c>
      <c r="B1246" s="752" t="s">
        <v>35</v>
      </c>
      <c r="C1246" s="751" t="s">
        <v>2960</v>
      </c>
      <c r="D1246" s="752" t="s">
        <v>1283</v>
      </c>
      <c r="E1246" s="752" t="s">
        <v>1189</v>
      </c>
      <c r="F1246" s="751">
        <v>56769</v>
      </c>
      <c r="G1246" s="752" t="s">
        <v>83</v>
      </c>
      <c r="H1246" s="752" t="s">
        <v>1245</v>
      </c>
      <c r="I1246" s="752" t="s">
        <v>60</v>
      </c>
      <c r="J1246" s="751">
        <v>22</v>
      </c>
      <c r="K1246" s="751">
        <v>2</v>
      </c>
      <c r="L1246" s="752" t="s">
        <v>54</v>
      </c>
      <c r="M1246" s="752" t="s">
        <v>468</v>
      </c>
      <c r="N1246" s="752" t="s">
        <v>469</v>
      </c>
      <c r="O1246" s="752" t="s">
        <v>469</v>
      </c>
      <c r="P1246" s="752" t="s">
        <v>1238</v>
      </c>
      <c r="Q1246" s="753">
        <v>0</v>
      </c>
      <c r="R1246" s="753">
        <v>0</v>
      </c>
      <c r="S1246" s="753">
        <v>36364</v>
      </c>
      <c r="T1246" s="753">
        <v>36364</v>
      </c>
      <c r="U1246" s="753">
        <v>4084</v>
      </c>
      <c r="V1246" s="751">
        <v>2019</v>
      </c>
      <c r="W1246" s="222"/>
      <c r="X1246" s="186"/>
      <c r="Y1246" s="86" t="str">
        <f t="shared" si="66"/>
        <v/>
      </c>
      <c r="Z1246" s="86" t="str">
        <f t="shared" si="67"/>
        <v/>
      </c>
      <c r="AA1246" s="44"/>
      <c r="AB1246" s="65"/>
    </row>
    <row r="1247" spans="1:28" hidden="1">
      <c r="A1247" s="751">
        <v>57992</v>
      </c>
      <c r="B1247" s="752" t="s">
        <v>35</v>
      </c>
      <c r="C1247" s="751" t="s">
        <v>2960</v>
      </c>
      <c r="D1247" s="752" t="s">
        <v>1284</v>
      </c>
      <c r="E1247" s="752" t="s">
        <v>1285</v>
      </c>
      <c r="F1247" s="751">
        <v>57365</v>
      </c>
      <c r="G1247" s="752" t="s">
        <v>83</v>
      </c>
      <c r="H1247" s="752" t="s">
        <v>1245</v>
      </c>
      <c r="I1247" s="752" t="s">
        <v>60</v>
      </c>
      <c r="J1247" s="751">
        <v>22</v>
      </c>
      <c r="K1247" s="751">
        <v>2</v>
      </c>
      <c r="L1247" s="752" t="s">
        <v>54</v>
      </c>
      <c r="M1247" s="752" t="s">
        <v>468</v>
      </c>
      <c r="N1247" s="752" t="s">
        <v>469</v>
      </c>
      <c r="O1247" s="752" t="s">
        <v>469</v>
      </c>
      <c r="P1247" s="752" t="s">
        <v>1238</v>
      </c>
      <c r="Q1247" s="753">
        <v>0</v>
      </c>
      <c r="R1247" s="753">
        <v>0</v>
      </c>
      <c r="S1247" s="753">
        <v>13321</v>
      </c>
      <c r="T1247" s="753">
        <v>13321</v>
      </c>
      <c r="U1247" s="753">
        <v>1496</v>
      </c>
      <c r="V1247" s="751">
        <v>2019</v>
      </c>
      <c r="W1247" s="222"/>
      <c r="X1247" s="186"/>
      <c r="Y1247" s="178" t="str">
        <f t="shared" si="66"/>
        <v/>
      </c>
      <c r="Z1247" s="178" t="str">
        <f t="shared" si="67"/>
        <v/>
      </c>
      <c r="AA1247" s="44"/>
      <c r="AB1247" s="65"/>
    </row>
    <row r="1248" spans="1:28" hidden="1">
      <c r="A1248" s="751">
        <v>58004</v>
      </c>
      <c r="B1248" s="752" t="s">
        <v>35</v>
      </c>
      <c r="C1248" s="751" t="s">
        <v>2960</v>
      </c>
      <c r="D1248" s="752" t="s">
        <v>1286</v>
      </c>
      <c r="E1248" s="752" t="s">
        <v>1286</v>
      </c>
      <c r="F1248" s="751">
        <v>57378</v>
      </c>
      <c r="G1248" s="752" t="s">
        <v>98</v>
      </c>
      <c r="H1248" s="752" t="s">
        <v>1245</v>
      </c>
      <c r="I1248" s="752" t="s">
        <v>60</v>
      </c>
      <c r="J1248" s="751">
        <v>22</v>
      </c>
      <c r="K1248" s="751">
        <v>2</v>
      </c>
      <c r="L1248" s="752" t="s">
        <v>54</v>
      </c>
      <c r="M1248" s="752" t="s">
        <v>73</v>
      </c>
      <c r="N1248" s="752" t="s">
        <v>74</v>
      </c>
      <c r="O1248" s="752" t="s">
        <v>74</v>
      </c>
      <c r="P1248" s="752" t="s">
        <v>1238</v>
      </c>
      <c r="Q1248" s="753">
        <v>0</v>
      </c>
      <c r="R1248" s="753">
        <v>0</v>
      </c>
      <c r="S1248" s="753">
        <v>2074722</v>
      </c>
      <c r="T1248" s="753">
        <v>2074722</v>
      </c>
      <c r="U1248" s="753">
        <v>233010</v>
      </c>
      <c r="V1248" s="751">
        <v>2019</v>
      </c>
      <c r="W1248" s="222"/>
      <c r="X1248" s="186"/>
      <c r="Y1248" s="178" t="str">
        <f t="shared" si="66"/>
        <v/>
      </c>
      <c r="Z1248" s="178" t="str">
        <f t="shared" si="67"/>
        <v/>
      </c>
      <c r="AA1248" s="44"/>
      <c r="AB1248" s="65"/>
    </row>
    <row r="1249" spans="1:28" ht="25" hidden="1">
      <c r="A1249" s="751">
        <v>58025</v>
      </c>
      <c r="B1249" s="752" t="s">
        <v>35</v>
      </c>
      <c r="C1249" s="751" t="s">
        <v>2960</v>
      </c>
      <c r="D1249" s="752" t="s">
        <v>1287</v>
      </c>
      <c r="E1249" s="752" t="s">
        <v>1287</v>
      </c>
      <c r="F1249" s="751">
        <v>57401</v>
      </c>
      <c r="G1249" s="752" t="s">
        <v>83</v>
      </c>
      <c r="H1249" s="752" t="s">
        <v>1245</v>
      </c>
      <c r="I1249" s="752" t="s">
        <v>60</v>
      </c>
      <c r="J1249" s="751">
        <v>611</v>
      </c>
      <c r="K1249" s="751">
        <v>4</v>
      </c>
      <c r="L1249" s="752" t="s">
        <v>422</v>
      </c>
      <c r="M1249" s="752" t="s">
        <v>73</v>
      </c>
      <c r="N1249" s="752" t="s">
        <v>74</v>
      </c>
      <c r="O1249" s="752" t="s">
        <v>74</v>
      </c>
      <c r="P1249" s="752" t="s">
        <v>1238</v>
      </c>
      <c r="Q1249" s="753">
        <v>0</v>
      </c>
      <c r="R1249" s="753">
        <v>0</v>
      </c>
      <c r="S1249" s="753">
        <v>47168</v>
      </c>
      <c r="T1249" s="753">
        <v>47168</v>
      </c>
      <c r="U1249" s="753">
        <v>5297.49</v>
      </c>
      <c r="V1249" s="751">
        <v>2019</v>
      </c>
      <c r="W1249" s="222"/>
      <c r="X1249" s="186"/>
      <c r="Y1249" s="178" t="str">
        <f t="shared" si="66"/>
        <v/>
      </c>
      <c r="Z1249" s="178" t="str">
        <f t="shared" si="67"/>
        <v/>
      </c>
      <c r="AA1249" s="44"/>
      <c r="AB1249" s="65"/>
    </row>
    <row r="1250" spans="1:28" hidden="1">
      <c r="A1250" s="751">
        <v>58026</v>
      </c>
      <c r="B1250" s="752" t="s">
        <v>35</v>
      </c>
      <c r="C1250" s="751" t="s">
        <v>2960</v>
      </c>
      <c r="D1250" s="752" t="s">
        <v>1288</v>
      </c>
      <c r="E1250" s="752" t="s">
        <v>1289</v>
      </c>
      <c r="F1250" s="751">
        <v>57402</v>
      </c>
      <c r="G1250" s="752" t="s">
        <v>92</v>
      </c>
      <c r="H1250" s="752" t="s">
        <v>1245</v>
      </c>
      <c r="I1250" s="752" t="s">
        <v>60</v>
      </c>
      <c r="J1250" s="751">
        <v>22</v>
      </c>
      <c r="K1250" s="751">
        <v>2</v>
      </c>
      <c r="L1250" s="752" t="s">
        <v>54</v>
      </c>
      <c r="M1250" s="752" t="s">
        <v>73</v>
      </c>
      <c r="N1250" s="752" t="s">
        <v>74</v>
      </c>
      <c r="O1250" s="752" t="s">
        <v>74</v>
      </c>
      <c r="P1250" s="752" t="s">
        <v>1238</v>
      </c>
      <c r="Q1250" s="753">
        <v>0</v>
      </c>
      <c r="R1250" s="753">
        <v>0</v>
      </c>
      <c r="S1250" s="753">
        <v>535797</v>
      </c>
      <c r="T1250" s="753">
        <v>535797</v>
      </c>
      <c r="U1250" s="753">
        <v>60175</v>
      </c>
      <c r="V1250" s="751">
        <v>2019</v>
      </c>
      <c r="W1250" s="222"/>
      <c r="X1250" s="186"/>
      <c r="Y1250" s="178" t="str">
        <f t="shared" si="66"/>
        <v/>
      </c>
      <c r="Z1250" s="178" t="str">
        <f t="shared" si="67"/>
        <v/>
      </c>
      <c r="AA1250" s="44"/>
      <c r="AB1250" s="65"/>
    </row>
    <row r="1251" spans="1:28" hidden="1">
      <c r="A1251" s="751">
        <v>58032</v>
      </c>
      <c r="B1251" s="752" t="s">
        <v>35</v>
      </c>
      <c r="C1251" s="751" t="s">
        <v>2960</v>
      </c>
      <c r="D1251" s="752" t="s">
        <v>1290</v>
      </c>
      <c r="E1251" s="752" t="s">
        <v>1285</v>
      </c>
      <c r="F1251" s="751">
        <v>57365</v>
      </c>
      <c r="G1251" s="752" t="s">
        <v>83</v>
      </c>
      <c r="H1251" s="752" t="s">
        <v>1245</v>
      </c>
      <c r="I1251" s="752" t="s">
        <v>60</v>
      </c>
      <c r="J1251" s="751">
        <v>22</v>
      </c>
      <c r="K1251" s="751">
        <v>2</v>
      </c>
      <c r="L1251" s="752" t="s">
        <v>54</v>
      </c>
      <c r="M1251" s="752" t="s">
        <v>468</v>
      </c>
      <c r="N1251" s="752" t="s">
        <v>469</v>
      </c>
      <c r="O1251" s="752" t="s">
        <v>469</v>
      </c>
      <c r="P1251" s="752" t="s">
        <v>1238</v>
      </c>
      <c r="Q1251" s="753">
        <v>0</v>
      </c>
      <c r="R1251" s="753">
        <v>0</v>
      </c>
      <c r="S1251" s="753">
        <v>30826</v>
      </c>
      <c r="T1251" s="753">
        <v>30826</v>
      </c>
      <c r="U1251" s="753">
        <v>3462</v>
      </c>
      <c r="V1251" s="751">
        <v>2019</v>
      </c>
      <c r="W1251" s="222"/>
      <c r="X1251" s="186"/>
      <c r="Y1251" s="178" t="str">
        <f t="shared" si="66"/>
        <v/>
      </c>
      <c r="Z1251" s="178" t="str">
        <f t="shared" si="67"/>
        <v/>
      </c>
      <c r="AA1251" s="44"/>
      <c r="AB1251" s="65"/>
    </row>
    <row r="1252" spans="1:28" ht="25" hidden="1">
      <c r="A1252" s="751">
        <v>58035</v>
      </c>
      <c r="B1252" s="752" t="s">
        <v>35</v>
      </c>
      <c r="C1252" s="751" t="s">
        <v>2960</v>
      </c>
      <c r="D1252" s="752" t="s">
        <v>2034</v>
      </c>
      <c r="E1252" s="752" t="s">
        <v>2035</v>
      </c>
      <c r="F1252" s="751">
        <v>57406</v>
      </c>
      <c r="G1252" s="752" t="s">
        <v>136</v>
      </c>
      <c r="H1252" s="752" t="s">
        <v>1245</v>
      </c>
      <c r="I1252" s="752" t="s">
        <v>60</v>
      </c>
      <c r="J1252" s="751">
        <v>22</v>
      </c>
      <c r="K1252" s="751">
        <v>2</v>
      </c>
      <c r="L1252" s="752" t="s">
        <v>54</v>
      </c>
      <c r="M1252" s="752" t="s">
        <v>2036</v>
      </c>
      <c r="N1252" s="752" t="s">
        <v>74</v>
      </c>
      <c r="O1252" s="752" t="s">
        <v>74</v>
      </c>
      <c r="P1252" s="752" t="s">
        <v>1238</v>
      </c>
      <c r="Q1252" s="753">
        <v>0</v>
      </c>
      <c r="R1252" s="753">
        <v>0</v>
      </c>
      <c r="S1252" s="753">
        <v>1048820</v>
      </c>
      <c r="T1252" s="753">
        <v>1048820</v>
      </c>
      <c r="U1252" s="753">
        <v>117792</v>
      </c>
      <c r="V1252" s="751">
        <v>2019</v>
      </c>
      <c r="W1252" s="222"/>
      <c r="X1252" s="186"/>
      <c r="Y1252" s="86" t="str">
        <f t="shared" si="66"/>
        <v/>
      </c>
      <c r="Z1252" s="86" t="str">
        <f t="shared" si="67"/>
        <v/>
      </c>
      <c r="AA1252" s="44"/>
      <c r="AB1252" s="65"/>
    </row>
    <row r="1253" spans="1:28" hidden="1">
      <c r="A1253" s="751">
        <v>58054</v>
      </c>
      <c r="B1253" s="752" t="s">
        <v>35</v>
      </c>
      <c r="C1253" s="751" t="s">
        <v>2960</v>
      </c>
      <c r="D1253" s="752" t="s">
        <v>1673</v>
      </c>
      <c r="E1253" s="752" t="s">
        <v>1674</v>
      </c>
      <c r="F1253" s="751">
        <v>57430</v>
      </c>
      <c r="G1253" s="752" t="s">
        <v>98</v>
      </c>
      <c r="H1253" s="752" t="s">
        <v>1245</v>
      </c>
      <c r="I1253" s="752" t="s">
        <v>60</v>
      </c>
      <c r="J1253" s="751">
        <v>22</v>
      </c>
      <c r="K1253" s="751">
        <v>2</v>
      </c>
      <c r="L1253" s="752" t="s">
        <v>54</v>
      </c>
      <c r="M1253" s="752" t="s">
        <v>44</v>
      </c>
      <c r="N1253" s="752" t="s">
        <v>48</v>
      </c>
      <c r="O1253" s="752" t="s">
        <v>48</v>
      </c>
      <c r="P1253" s="752" t="s">
        <v>49</v>
      </c>
      <c r="Q1253" s="753">
        <v>580</v>
      </c>
      <c r="R1253" s="753">
        <v>580</v>
      </c>
      <c r="S1253" s="753">
        <v>3422</v>
      </c>
      <c r="T1253" s="753">
        <v>3422</v>
      </c>
      <c r="U1253" s="753">
        <v>258.76</v>
      </c>
      <c r="V1253" s="751">
        <v>2019</v>
      </c>
      <c r="W1253" s="222"/>
      <c r="X1253" s="186"/>
      <c r="Y1253" s="86" t="str">
        <f t="shared" si="66"/>
        <v/>
      </c>
      <c r="Z1253" s="86" t="str">
        <f t="shared" si="67"/>
        <v/>
      </c>
      <c r="AA1253" s="44"/>
      <c r="AB1253" s="65"/>
    </row>
    <row r="1254" spans="1:28" ht="25" hidden="1">
      <c r="A1254" s="751">
        <v>58054</v>
      </c>
      <c r="B1254" s="752" t="s">
        <v>35</v>
      </c>
      <c r="C1254" s="751" t="s">
        <v>2960</v>
      </c>
      <c r="D1254" s="752" t="s">
        <v>1673</v>
      </c>
      <c r="E1254" s="752" t="s">
        <v>1674</v>
      </c>
      <c r="F1254" s="751">
        <v>57430</v>
      </c>
      <c r="G1254" s="752" t="s">
        <v>98</v>
      </c>
      <c r="H1254" s="752" t="s">
        <v>1245</v>
      </c>
      <c r="I1254" s="752" t="s">
        <v>60</v>
      </c>
      <c r="J1254" s="751">
        <v>22</v>
      </c>
      <c r="K1254" s="751">
        <v>2</v>
      </c>
      <c r="L1254" s="752" t="s">
        <v>54</v>
      </c>
      <c r="M1254" s="752" t="s">
        <v>44</v>
      </c>
      <c r="N1254" s="752" t="s">
        <v>71</v>
      </c>
      <c r="O1254" s="752" t="s">
        <v>72</v>
      </c>
      <c r="P1254" s="752" t="s">
        <v>47</v>
      </c>
      <c r="Q1254" s="753">
        <v>808448</v>
      </c>
      <c r="R1254" s="753">
        <v>808448</v>
      </c>
      <c r="S1254" s="753">
        <v>7276032</v>
      </c>
      <c r="T1254" s="753">
        <v>7276032</v>
      </c>
      <c r="U1254" s="753">
        <v>538655.24</v>
      </c>
      <c r="V1254" s="751">
        <v>2019</v>
      </c>
      <c r="W1254" s="222"/>
      <c r="X1254" s="186"/>
      <c r="Y1254" s="86" t="str">
        <f t="shared" si="66"/>
        <v/>
      </c>
      <c r="Z1254" s="86" t="str">
        <f t="shared" si="67"/>
        <v/>
      </c>
      <c r="AA1254" s="44"/>
      <c r="AB1254" s="65"/>
    </row>
    <row r="1255" spans="1:28" hidden="1">
      <c r="A1255" s="751">
        <v>58065</v>
      </c>
      <c r="B1255" s="752" t="s">
        <v>35</v>
      </c>
      <c r="C1255" s="751" t="s">
        <v>2960</v>
      </c>
      <c r="D1255" s="752" t="s">
        <v>1291</v>
      </c>
      <c r="E1255" s="752" t="s">
        <v>1292</v>
      </c>
      <c r="F1255" s="751">
        <v>57443</v>
      </c>
      <c r="G1255" s="752" t="s">
        <v>83</v>
      </c>
      <c r="H1255" s="752" t="s">
        <v>1245</v>
      </c>
      <c r="I1255" s="752" t="s">
        <v>60</v>
      </c>
      <c r="J1255" s="751">
        <v>22</v>
      </c>
      <c r="K1255" s="751">
        <v>2</v>
      </c>
      <c r="L1255" s="752" t="s">
        <v>54</v>
      </c>
      <c r="M1255" s="752" t="s">
        <v>73</v>
      </c>
      <c r="N1255" s="752" t="s">
        <v>74</v>
      </c>
      <c r="O1255" s="752" t="s">
        <v>74</v>
      </c>
      <c r="P1255" s="752" t="s">
        <v>1238</v>
      </c>
      <c r="Q1255" s="753">
        <v>0</v>
      </c>
      <c r="R1255" s="753">
        <v>0</v>
      </c>
      <c r="S1255" s="753">
        <v>13426</v>
      </c>
      <c r="T1255" s="753">
        <v>13426</v>
      </c>
      <c r="U1255" s="753">
        <v>1508</v>
      </c>
      <c r="V1255" s="751">
        <v>2019</v>
      </c>
      <c r="W1255" s="222"/>
      <c r="X1255" s="186"/>
      <c r="Y1255" s="86" t="str">
        <f t="shared" si="66"/>
        <v/>
      </c>
      <c r="Z1255" s="86" t="str">
        <f t="shared" si="67"/>
        <v/>
      </c>
      <c r="AA1255" s="44"/>
      <c r="AB1255" s="65"/>
    </row>
    <row r="1256" spans="1:28" hidden="1">
      <c r="A1256" s="751">
        <v>58084</v>
      </c>
      <c r="B1256" s="752" t="s">
        <v>56</v>
      </c>
      <c r="C1256" s="751" t="s">
        <v>2960</v>
      </c>
      <c r="D1256" s="752" t="s">
        <v>1675</v>
      </c>
      <c r="E1256" s="752" t="s">
        <v>1676</v>
      </c>
      <c r="F1256" s="751">
        <v>57464</v>
      </c>
      <c r="G1256" s="752" t="s">
        <v>43</v>
      </c>
      <c r="H1256" s="752" t="s">
        <v>1245</v>
      </c>
      <c r="I1256" s="752" t="s">
        <v>60</v>
      </c>
      <c r="J1256" s="751">
        <v>322</v>
      </c>
      <c r="K1256" s="751">
        <v>7</v>
      </c>
      <c r="L1256" s="752" t="s">
        <v>419</v>
      </c>
      <c r="M1256" s="752" t="s">
        <v>40</v>
      </c>
      <c r="N1256" s="752" t="s">
        <v>41</v>
      </c>
      <c r="O1256" s="752" t="s">
        <v>41</v>
      </c>
      <c r="P1256" s="752" t="s">
        <v>1091</v>
      </c>
      <c r="Q1256" s="753">
        <v>466</v>
      </c>
      <c r="R1256" s="753">
        <v>466</v>
      </c>
      <c r="S1256" s="753">
        <v>475</v>
      </c>
      <c r="T1256" s="753">
        <v>475</v>
      </c>
      <c r="U1256" s="753">
        <v>11475</v>
      </c>
      <c r="V1256" s="751">
        <v>2019</v>
      </c>
      <c r="W1256" s="222"/>
      <c r="X1256" s="186"/>
      <c r="Y1256" s="86" t="str">
        <f t="shared" si="66"/>
        <v/>
      </c>
      <c r="Z1256" s="86" t="str">
        <f t="shared" si="67"/>
        <v/>
      </c>
      <c r="AA1256" s="44"/>
      <c r="AB1256" s="65"/>
    </row>
    <row r="1257" spans="1:28" hidden="1">
      <c r="A1257" s="751">
        <v>58084</v>
      </c>
      <c r="B1257" s="752" t="s">
        <v>56</v>
      </c>
      <c r="C1257" s="751" t="s">
        <v>2960</v>
      </c>
      <c r="D1257" s="752" t="s">
        <v>1675</v>
      </c>
      <c r="E1257" s="752" t="s">
        <v>1676</v>
      </c>
      <c r="F1257" s="751">
        <v>57464</v>
      </c>
      <c r="G1257" s="752" t="s">
        <v>43</v>
      </c>
      <c r="H1257" s="752" t="s">
        <v>1245</v>
      </c>
      <c r="I1257" s="752" t="s">
        <v>60</v>
      </c>
      <c r="J1257" s="751">
        <v>322</v>
      </c>
      <c r="K1257" s="751">
        <v>7</v>
      </c>
      <c r="L1257" s="752" t="s">
        <v>419</v>
      </c>
      <c r="M1257" s="752" t="s">
        <v>43</v>
      </c>
      <c r="N1257" s="752" t="s">
        <v>41</v>
      </c>
      <c r="O1257" s="752" t="s">
        <v>41</v>
      </c>
      <c r="P1257" s="752" t="s">
        <v>1091</v>
      </c>
      <c r="Q1257" s="753">
        <v>1338205</v>
      </c>
      <c r="R1257" s="753">
        <v>613979</v>
      </c>
      <c r="S1257" s="753">
        <v>1366307</v>
      </c>
      <c r="T1257" s="753">
        <v>626873</v>
      </c>
      <c r="U1257" s="753">
        <v>116226</v>
      </c>
      <c r="V1257" s="751">
        <v>2019</v>
      </c>
      <c r="W1257" s="222"/>
      <c r="X1257" s="186" t="str">
        <f>IF(OR(K1257&gt;3,T1257=0,NOT(U1257&gt;0)),"",T1257/U1257)</f>
        <v/>
      </c>
      <c r="Y1257" s="178" t="str">
        <f t="shared" si="66"/>
        <v/>
      </c>
      <c r="Z1257" s="178" t="str">
        <f t="shared" si="67"/>
        <v/>
      </c>
      <c r="AA1257" s="44"/>
      <c r="AB1257" s="65"/>
    </row>
    <row r="1258" spans="1:28" hidden="1">
      <c r="A1258" s="751">
        <v>58084</v>
      </c>
      <c r="B1258" s="752" t="s">
        <v>56</v>
      </c>
      <c r="C1258" s="751" t="s">
        <v>2960</v>
      </c>
      <c r="D1258" s="752" t="s">
        <v>1675</v>
      </c>
      <c r="E1258" s="752" t="s">
        <v>1676</v>
      </c>
      <c r="F1258" s="751">
        <v>57464</v>
      </c>
      <c r="G1258" s="752" t="s">
        <v>43</v>
      </c>
      <c r="H1258" s="752" t="s">
        <v>1245</v>
      </c>
      <c r="I1258" s="752" t="s">
        <v>60</v>
      </c>
      <c r="J1258" s="751">
        <v>322</v>
      </c>
      <c r="K1258" s="751">
        <v>7</v>
      </c>
      <c r="L1258" s="752" t="s">
        <v>419</v>
      </c>
      <c r="M1258" s="752" t="s">
        <v>52</v>
      </c>
      <c r="N1258" s="752" t="s">
        <v>41</v>
      </c>
      <c r="O1258" s="752" t="s">
        <v>41</v>
      </c>
      <c r="P1258" s="752" t="s">
        <v>1091</v>
      </c>
      <c r="Q1258" s="753">
        <v>1257496</v>
      </c>
      <c r="R1258" s="753">
        <v>519645</v>
      </c>
      <c r="S1258" s="753">
        <v>1283902</v>
      </c>
      <c r="T1258" s="753">
        <v>530556</v>
      </c>
      <c r="U1258" s="753">
        <v>108341</v>
      </c>
      <c r="V1258" s="751">
        <v>2019</v>
      </c>
      <c r="W1258" s="222"/>
      <c r="X1258" s="186"/>
      <c r="Y1258" s="178">
        <f t="shared" si="66"/>
        <v>5.4863724174049908</v>
      </c>
      <c r="Z1258" s="178" t="str">
        <f t="shared" si="67"/>
        <v/>
      </c>
      <c r="AA1258" s="44"/>
      <c r="AB1258" s="65"/>
    </row>
    <row r="1259" spans="1:28" hidden="1">
      <c r="A1259" s="751">
        <v>58088</v>
      </c>
      <c r="B1259" s="752" t="s">
        <v>35</v>
      </c>
      <c r="C1259" s="751" t="s">
        <v>2960</v>
      </c>
      <c r="D1259" s="752" t="s">
        <v>1677</v>
      </c>
      <c r="E1259" s="752" t="s">
        <v>467</v>
      </c>
      <c r="F1259" s="751">
        <v>49893</v>
      </c>
      <c r="G1259" s="752" t="s">
        <v>59</v>
      </c>
      <c r="H1259" s="752" t="s">
        <v>1244</v>
      </c>
      <c r="I1259" s="752" t="s">
        <v>60</v>
      </c>
      <c r="J1259" s="751">
        <v>22</v>
      </c>
      <c r="K1259" s="751">
        <v>2</v>
      </c>
      <c r="L1259" s="752" t="s">
        <v>54</v>
      </c>
      <c r="M1259" s="752" t="s">
        <v>73</v>
      </c>
      <c r="N1259" s="752" t="s">
        <v>74</v>
      </c>
      <c r="O1259" s="752" t="s">
        <v>74</v>
      </c>
      <c r="P1259" s="752" t="s">
        <v>1238</v>
      </c>
      <c r="Q1259" s="753">
        <v>0</v>
      </c>
      <c r="R1259" s="753">
        <v>0</v>
      </c>
      <c r="S1259" s="753">
        <v>2445404</v>
      </c>
      <c r="T1259" s="753">
        <v>2445404</v>
      </c>
      <c r="U1259" s="753">
        <v>274641</v>
      </c>
      <c r="V1259" s="751">
        <v>2019</v>
      </c>
      <c r="W1259" s="222"/>
      <c r="X1259" s="186"/>
      <c r="Y1259" s="178" t="str">
        <f t="shared" si="66"/>
        <v/>
      </c>
      <c r="Z1259" s="178" t="str">
        <f t="shared" si="67"/>
        <v/>
      </c>
      <c r="AA1259" s="44"/>
      <c r="AB1259" s="65"/>
    </row>
    <row r="1260" spans="1:28" ht="25" hidden="1">
      <c r="A1260" s="751">
        <v>58097</v>
      </c>
      <c r="B1260" s="752" t="s">
        <v>35</v>
      </c>
      <c r="C1260" s="751" t="s">
        <v>2960</v>
      </c>
      <c r="D1260" s="752" t="s">
        <v>1777</v>
      </c>
      <c r="E1260" s="752" t="s">
        <v>2109</v>
      </c>
      <c r="F1260" s="751">
        <v>60281</v>
      </c>
      <c r="G1260" s="752" t="s">
        <v>83</v>
      </c>
      <c r="H1260" s="752" t="s">
        <v>1245</v>
      </c>
      <c r="I1260" s="752" t="s">
        <v>60</v>
      </c>
      <c r="J1260" s="751">
        <v>22</v>
      </c>
      <c r="K1260" s="751">
        <v>2</v>
      </c>
      <c r="L1260" s="752" t="s">
        <v>54</v>
      </c>
      <c r="M1260" s="752" t="s">
        <v>468</v>
      </c>
      <c r="N1260" s="752" t="s">
        <v>469</v>
      </c>
      <c r="O1260" s="752" t="s">
        <v>469</v>
      </c>
      <c r="P1260" s="752" t="s">
        <v>1238</v>
      </c>
      <c r="Q1260" s="753">
        <v>0</v>
      </c>
      <c r="R1260" s="753">
        <v>0</v>
      </c>
      <c r="S1260" s="753">
        <v>39375</v>
      </c>
      <c r="T1260" s="753">
        <v>39375</v>
      </c>
      <c r="U1260" s="753">
        <v>4422</v>
      </c>
      <c r="V1260" s="751">
        <v>2019</v>
      </c>
      <c r="W1260" s="222"/>
      <c r="X1260" s="186">
        <f>IF(OR(K1260&gt;3,T1260=0,NOT(U1260&gt;0)),"",T1260/U1260)</f>
        <v>8.9043419267299857</v>
      </c>
      <c r="Y1260" s="178" t="str">
        <f t="shared" si="66"/>
        <v/>
      </c>
      <c r="Z1260" s="178" t="str">
        <f t="shared" si="67"/>
        <v/>
      </c>
      <c r="AA1260" s="44"/>
      <c r="AB1260" s="65"/>
    </row>
    <row r="1261" spans="1:28" ht="25" hidden="1">
      <c r="A1261" s="751">
        <v>58116</v>
      </c>
      <c r="B1261" s="752" t="s">
        <v>35</v>
      </c>
      <c r="C1261" s="751" t="s">
        <v>2960</v>
      </c>
      <c r="D1261" s="752" t="s">
        <v>1293</v>
      </c>
      <c r="E1261" s="752" t="s">
        <v>2037</v>
      </c>
      <c r="F1261" s="751">
        <v>60642</v>
      </c>
      <c r="G1261" s="752" t="s">
        <v>43</v>
      </c>
      <c r="H1261" s="752" t="s">
        <v>1245</v>
      </c>
      <c r="I1261" s="752" t="s">
        <v>60</v>
      </c>
      <c r="J1261" s="751">
        <v>322</v>
      </c>
      <c r="K1261" s="751">
        <v>6</v>
      </c>
      <c r="L1261" s="752" t="s">
        <v>420</v>
      </c>
      <c r="M1261" s="752" t="s">
        <v>53</v>
      </c>
      <c r="N1261" s="752" t="s">
        <v>41</v>
      </c>
      <c r="O1261" s="752" t="s">
        <v>41</v>
      </c>
      <c r="P1261" s="752" t="s">
        <v>1091</v>
      </c>
      <c r="Q1261" s="753">
        <v>157000</v>
      </c>
      <c r="R1261" s="753">
        <v>157000</v>
      </c>
      <c r="S1261" s="753">
        <v>161082</v>
      </c>
      <c r="T1261" s="753">
        <v>161082</v>
      </c>
      <c r="U1261" s="753">
        <v>15158</v>
      </c>
      <c r="V1261" s="751">
        <v>2019</v>
      </c>
      <c r="W1261" s="222"/>
      <c r="X1261" s="186"/>
      <c r="Y1261" s="178" t="str">
        <f t="shared" si="66"/>
        <v/>
      </c>
      <c r="Z1261" s="178" t="str">
        <f t="shared" si="67"/>
        <v/>
      </c>
      <c r="AA1261" s="44"/>
      <c r="AB1261" s="65"/>
    </row>
    <row r="1262" spans="1:28" hidden="1">
      <c r="A1262" s="751">
        <v>58141</v>
      </c>
      <c r="B1262" s="752" t="s">
        <v>35</v>
      </c>
      <c r="C1262" s="751" t="s">
        <v>2960</v>
      </c>
      <c r="D1262" s="752" t="s">
        <v>1294</v>
      </c>
      <c r="E1262" s="752" t="s">
        <v>2030</v>
      </c>
      <c r="F1262" s="751">
        <v>15399</v>
      </c>
      <c r="G1262" s="752" t="s">
        <v>98</v>
      </c>
      <c r="H1262" s="752" t="s">
        <v>1245</v>
      </c>
      <c r="I1262" s="752" t="s">
        <v>60</v>
      </c>
      <c r="J1262" s="751">
        <v>22</v>
      </c>
      <c r="K1262" s="751">
        <v>2</v>
      </c>
      <c r="L1262" s="752" t="s">
        <v>54</v>
      </c>
      <c r="M1262" s="752" t="s">
        <v>73</v>
      </c>
      <c r="N1262" s="752" t="s">
        <v>74</v>
      </c>
      <c r="O1262" s="752" t="s">
        <v>74</v>
      </c>
      <c r="P1262" s="752" t="s">
        <v>1238</v>
      </c>
      <c r="Q1262" s="753">
        <v>0</v>
      </c>
      <c r="R1262" s="753">
        <v>0</v>
      </c>
      <c r="S1262" s="753">
        <v>959352</v>
      </c>
      <c r="T1262" s="753">
        <v>959352</v>
      </c>
      <c r="U1262" s="753">
        <v>107744</v>
      </c>
      <c r="V1262" s="751">
        <v>2019</v>
      </c>
      <c r="W1262" s="222"/>
      <c r="X1262" s="186"/>
      <c r="Y1262" s="178" t="str">
        <f t="shared" si="66"/>
        <v/>
      </c>
      <c r="Z1262" s="178" t="str">
        <f t="shared" si="67"/>
        <v/>
      </c>
      <c r="AA1262" s="44"/>
      <c r="AB1262" s="65"/>
    </row>
    <row r="1263" spans="1:28" hidden="1">
      <c r="A1263" s="751">
        <v>58144</v>
      </c>
      <c r="B1263" s="752" t="s">
        <v>35</v>
      </c>
      <c r="C1263" s="751" t="s">
        <v>2960</v>
      </c>
      <c r="D1263" s="752" t="s">
        <v>1948</v>
      </c>
      <c r="E1263" s="752" t="s">
        <v>2469</v>
      </c>
      <c r="F1263" s="751">
        <v>62060</v>
      </c>
      <c r="G1263" s="752" t="s">
        <v>91</v>
      </c>
      <c r="H1263" s="752" t="s">
        <v>1245</v>
      </c>
      <c r="I1263" s="752" t="s">
        <v>60</v>
      </c>
      <c r="J1263" s="751">
        <v>22</v>
      </c>
      <c r="K1263" s="751">
        <v>2</v>
      </c>
      <c r="L1263" s="752" t="s">
        <v>54</v>
      </c>
      <c r="M1263" s="752" t="s">
        <v>468</v>
      </c>
      <c r="N1263" s="752" t="s">
        <v>469</v>
      </c>
      <c r="O1263" s="752" t="s">
        <v>469</v>
      </c>
      <c r="P1263" s="752" t="s">
        <v>1238</v>
      </c>
      <c r="Q1263" s="753">
        <v>0</v>
      </c>
      <c r="R1263" s="753">
        <v>0</v>
      </c>
      <c r="S1263" s="753">
        <v>16509</v>
      </c>
      <c r="T1263" s="753">
        <v>16509</v>
      </c>
      <c r="U1263" s="753">
        <v>1854</v>
      </c>
      <c r="V1263" s="751">
        <v>2019</v>
      </c>
      <c r="W1263" s="222"/>
      <c r="X1263" s="186"/>
      <c r="Y1263" s="178" t="str">
        <f t="shared" si="66"/>
        <v/>
      </c>
      <c r="Z1263" s="178" t="str">
        <f t="shared" si="67"/>
        <v/>
      </c>
      <c r="AA1263" s="44"/>
      <c r="AB1263" s="65"/>
    </row>
    <row r="1264" spans="1:28" hidden="1">
      <c r="A1264" s="751">
        <v>58145</v>
      </c>
      <c r="B1264" s="752" t="s">
        <v>35</v>
      </c>
      <c r="C1264" s="751" t="s">
        <v>2960</v>
      </c>
      <c r="D1264" s="752" t="s">
        <v>1949</v>
      </c>
      <c r="E1264" s="752" t="s">
        <v>2469</v>
      </c>
      <c r="F1264" s="751">
        <v>62060</v>
      </c>
      <c r="G1264" s="752" t="s">
        <v>91</v>
      </c>
      <c r="H1264" s="752" t="s">
        <v>1245</v>
      </c>
      <c r="I1264" s="752" t="s">
        <v>60</v>
      </c>
      <c r="J1264" s="751">
        <v>22</v>
      </c>
      <c r="K1264" s="751">
        <v>2</v>
      </c>
      <c r="L1264" s="752" t="s">
        <v>54</v>
      </c>
      <c r="M1264" s="752" t="s">
        <v>468</v>
      </c>
      <c r="N1264" s="752" t="s">
        <v>469</v>
      </c>
      <c r="O1264" s="752" t="s">
        <v>469</v>
      </c>
      <c r="P1264" s="752" t="s">
        <v>1238</v>
      </c>
      <c r="Q1264" s="753">
        <v>0</v>
      </c>
      <c r="R1264" s="753">
        <v>0</v>
      </c>
      <c r="S1264" s="753">
        <v>19758</v>
      </c>
      <c r="T1264" s="753">
        <v>19758</v>
      </c>
      <c r="U1264" s="753">
        <v>2219</v>
      </c>
      <c r="V1264" s="751">
        <v>2019</v>
      </c>
      <c r="W1264" s="222"/>
      <c r="X1264" s="186"/>
      <c r="Y1264" s="178" t="str">
        <f t="shared" si="66"/>
        <v/>
      </c>
      <c r="Z1264" s="178" t="str">
        <f t="shared" si="67"/>
        <v/>
      </c>
      <c r="AA1264" s="44"/>
      <c r="AB1264" s="65"/>
    </row>
    <row r="1265" spans="1:29" hidden="1">
      <c r="A1265" s="751">
        <v>58146</v>
      </c>
      <c r="B1265" s="752" t="s">
        <v>56</v>
      </c>
      <c r="C1265" s="751" t="s">
        <v>2960</v>
      </c>
      <c r="D1265" s="752" t="s">
        <v>1295</v>
      </c>
      <c r="E1265" s="752" t="s">
        <v>1295</v>
      </c>
      <c r="F1265" s="751">
        <v>58103</v>
      </c>
      <c r="G1265" s="752" t="s">
        <v>92</v>
      </c>
      <c r="H1265" s="752" t="s">
        <v>1245</v>
      </c>
      <c r="I1265" s="752" t="s">
        <v>60</v>
      </c>
      <c r="J1265" s="751">
        <v>322</v>
      </c>
      <c r="K1265" s="751">
        <v>7</v>
      </c>
      <c r="L1265" s="752" t="s">
        <v>419</v>
      </c>
      <c r="M1265" s="752" t="s">
        <v>44</v>
      </c>
      <c r="N1265" s="752" t="s">
        <v>424</v>
      </c>
      <c r="O1265" s="752" t="s">
        <v>84</v>
      </c>
      <c r="P1265" s="752" t="s">
        <v>1238</v>
      </c>
      <c r="Q1265" s="753">
        <v>0</v>
      </c>
      <c r="R1265" s="753">
        <v>0</v>
      </c>
      <c r="S1265" s="753">
        <v>861986</v>
      </c>
      <c r="T1265" s="753">
        <v>861986</v>
      </c>
      <c r="U1265" s="753">
        <v>96809</v>
      </c>
      <c r="V1265" s="751">
        <v>2019</v>
      </c>
      <c r="W1265" s="222"/>
      <c r="X1265" s="186" t="str">
        <f>IF(OR(K1265&gt;3,T1265=0,NOT(U1265&gt;0)),"",T1265/U1265)</f>
        <v/>
      </c>
      <c r="Y1265" s="178" t="str">
        <f t="shared" si="66"/>
        <v/>
      </c>
      <c r="Z1265" s="178" t="str">
        <f t="shared" si="67"/>
        <v/>
      </c>
      <c r="AA1265" s="44"/>
      <c r="AB1265" s="65"/>
    </row>
    <row r="1266" spans="1:29" ht="25" hidden="1">
      <c r="A1266" s="751">
        <v>58152</v>
      </c>
      <c r="B1266" s="752" t="s">
        <v>56</v>
      </c>
      <c r="C1266" s="751" t="s">
        <v>2960</v>
      </c>
      <c r="D1266" s="752" t="s">
        <v>1296</v>
      </c>
      <c r="E1266" s="752" t="s">
        <v>1297</v>
      </c>
      <c r="F1266" s="751">
        <v>58120</v>
      </c>
      <c r="G1266" s="752" t="s">
        <v>43</v>
      </c>
      <c r="H1266" s="752" t="s">
        <v>1245</v>
      </c>
      <c r="I1266" s="752" t="s">
        <v>60</v>
      </c>
      <c r="J1266" s="751">
        <v>622</v>
      </c>
      <c r="K1266" s="751">
        <v>5</v>
      </c>
      <c r="L1266" s="752" t="s">
        <v>423</v>
      </c>
      <c r="M1266" s="752" t="s">
        <v>52</v>
      </c>
      <c r="N1266" s="752" t="s">
        <v>41</v>
      </c>
      <c r="O1266" s="752" t="s">
        <v>41</v>
      </c>
      <c r="P1266" s="752" t="s">
        <v>1091</v>
      </c>
      <c r="Q1266" s="753">
        <v>390464</v>
      </c>
      <c r="R1266" s="753">
        <v>144742</v>
      </c>
      <c r="S1266" s="753">
        <v>399835</v>
      </c>
      <c r="T1266" s="753">
        <v>148217</v>
      </c>
      <c r="U1266" s="753">
        <v>31011</v>
      </c>
      <c r="V1266" s="751">
        <v>2019</v>
      </c>
      <c r="W1266" s="222"/>
      <c r="X1266" s="186"/>
      <c r="Y1266" s="178">
        <f t="shared" si="66"/>
        <v>4.9589723745668408</v>
      </c>
      <c r="Z1266" s="178" t="str">
        <f t="shared" si="67"/>
        <v/>
      </c>
      <c r="AA1266" s="44"/>
      <c r="AB1266" s="65"/>
    </row>
    <row r="1267" spans="1:29" ht="25" hidden="1">
      <c r="A1267" s="751">
        <v>58153</v>
      </c>
      <c r="B1267" s="752" t="s">
        <v>56</v>
      </c>
      <c r="C1267" s="751" t="s">
        <v>2960</v>
      </c>
      <c r="D1267" s="752" t="s">
        <v>1298</v>
      </c>
      <c r="E1267" s="752" t="s">
        <v>1298</v>
      </c>
      <c r="F1267" s="751">
        <v>58122</v>
      </c>
      <c r="G1267" s="752" t="s">
        <v>92</v>
      </c>
      <c r="H1267" s="752" t="s">
        <v>1245</v>
      </c>
      <c r="I1267" s="752" t="s">
        <v>60</v>
      </c>
      <c r="J1267" s="751">
        <v>622</v>
      </c>
      <c r="K1267" s="751">
        <v>5</v>
      </c>
      <c r="L1267" s="752" t="s">
        <v>423</v>
      </c>
      <c r="M1267" s="752" t="s">
        <v>52</v>
      </c>
      <c r="N1267" s="752" t="s">
        <v>48</v>
      </c>
      <c r="O1267" s="752" t="s">
        <v>48</v>
      </c>
      <c r="P1267" s="752" t="s">
        <v>49</v>
      </c>
      <c r="Q1267" s="753">
        <v>18</v>
      </c>
      <c r="R1267" s="753">
        <v>6</v>
      </c>
      <c r="S1267" s="753">
        <v>99</v>
      </c>
      <c r="T1267" s="753">
        <v>31</v>
      </c>
      <c r="U1267" s="753">
        <v>6.4589999999999996</v>
      </c>
      <c r="V1267" s="751">
        <v>2019</v>
      </c>
      <c r="W1267" s="222"/>
      <c r="X1267" s="186"/>
      <c r="Y1267" s="178" t="str">
        <f t="shared" si="66"/>
        <v/>
      </c>
      <c r="Z1267" s="178">
        <f t="shared" si="67"/>
        <v>5.8951731037193191</v>
      </c>
      <c r="AA1267" s="44"/>
      <c r="AB1267" s="65"/>
    </row>
    <row r="1268" spans="1:29" ht="25" hidden="1">
      <c r="A1268" s="751">
        <v>58153</v>
      </c>
      <c r="B1268" s="752" t="s">
        <v>56</v>
      </c>
      <c r="C1268" s="751" t="s">
        <v>2960</v>
      </c>
      <c r="D1268" s="752" t="s">
        <v>1298</v>
      </c>
      <c r="E1268" s="752" t="s">
        <v>1298</v>
      </c>
      <c r="F1268" s="751">
        <v>58122</v>
      </c>
      <c r="G1268" s="752" t="s">
        <v>92</v>
      </c>
      <c r="H1268" s="752" t="s">
        <v>1245</v>
      </c>
      <c r="I1268" s="752" t="s">
        <v>60</v>
      </c>
      <c r="J1268" s="751">
        <v>622</v>
      </c>
      <c r="K1268" s="751">
        <v>5</v>
      </c>
      <c r="L1268" s="752" t="s">
        <v>423</v>
      </c>
      <c r="M1268" s="752" t="s">
        <v>52</v>
      </c>
      <c r="N1268" s="752" t="s">
        <v>41</v>
      </c>
      <c r="O1268" s="752" t="s">
        <v>41</v>
      </c>
      <c r="P1268" s="752" t="s">
        <v>1091</v>
      </c>
      <c r="Q1268" s="753">
        <v>430035</v>
      </c>
      <c r="R1268" s="753">
        <v>144217</v>
      </c>
      <c r="S1268" s="753">
        <v>430035</v>
      </c>
      <c r="T1268" s="753">
        <v>144217</v>
      </c>
      <c r="U1268" s="753">
        <v>30432.541000000001</v>
      </c>
      <c r="V1268" s="751">
        <v>2019</v>
      </c>
      <c r="W1268" s="222"/>
      <c r="X1268" s="186"/>
      <c r="Y1268" s="178">
        <f t="shared" si="66"/>
        <v>5.4349085383003981</v>
      </c>
      <c r="Z1268" s="178" t="str">
        <f t="shared" si="67"/>
        <v/>
      </c>
      <c r="AA1268" s="44"/>
      <c r="AB1268" s="65"/>
    </row>
    <row r="1269" spans="1:29" ht="25" hidden="1">
      <c r="A1269" s="751">
        <v>58156</v>
      </c>
      <c r="B1269" s="752" t="s">
        <v>35</v>
      </c>
      <c r="C1269" s="751" t="s">
        <v>2960</v>
      </c>
      <c r="D1269" s="752" t="s">
        <v>1299</v>
      </c>
      <c r="E1269" s="752" t="s">
        <v>1299</v>
      </c>
      <c r="F1269" s="751">
        <v>58110</v>
      </c>
      <c r="G1269" s="752" t="s">
        <v>59</v>
      </c>
      <c r="H1269" s="752" t="s">
        <v>1244</v>
      </c>
      <c r="I1269" s="752" t="s">
        <v>60</v>
      </c>
      <c r="J1269" s="751">
        <v>611</v>
      </c>
      <c r="K1269" s="751">
        <v>4</v>
      </c>
      <c r="L1269" s="752" t="s">
        <v>422</v>
      </c>
      <c r="M1269" s="752" t="s">
        <v>53</v>
      </c>
      <c r="N1269" s="752" t="s">
        <v>41</v>
      </c>
      <c r="O1269" s="752" t="s">
        <v>41</v>
      </c>
      <c r="P1269" s="752" t="s">
        <v>1091</v>
      </c>
      <c r="Q1269" s="753">
        <v>0</v>
      </c>
      <c r="R1269" s="753">
        <v>0</v>
      </c>
      <c r="S1269" s="753">
        <v>0</v>
      </c>
      <c r="T1269" s="753">
        <v>0</v>
      </c>
      <c r="U1269" s="753">
        <v>0</v>
      </c>
      <c r="V1269" s="751">
        <v>2019</v>
      </c>
      <c r="W1269" s="222"/>
      <c r="X1269" s="186" t="str">
        <f t="shared" ref="X1269:X1284" si="68">IF(OR(K1269&gt;3,T1269=0,NOT(U1269&gt;0)),"",T1269/U1269)</f>
        <v/>
      </c>
      <c r="Y1269" s="86" t="str">
        <f t="shared" si="66"/>
        <v/>
      </c>
      <c r="Z1269" s="86" t="str">
        <f t="shared" si="67"/>
        <v/>
      </c>
      <c r="AA1269" s="44"/>
      <c r="AB1269" s="65"/>
    </row>
    <row r="1270" spans="1:29" ht="25" hidden="1">
      <c r="A1270" s="751">
        <v>58157</v>
      </c>
      <c r="B1270" s="752" t="s">
        <v>56</v>
      </c>
      <c r="C1270" s="751" t="s">
        <v>2960</v>
      </c>
      <c r="D1270" s="752" t="s">
        <v>1300</v>
      </c>
      <c r="E1270" s="752" t="s">
        <v>1300</v>
      </c>
      <c r="F1270" s="751">
        <v>58107</v>
      </c>
      <c r="G1270" s="752" t="s">
        <v>59</v>
      </c>
      <c r="H1270" s="752" t="s">
        <v>1244</v>
      </c>
      <c r="I1270" s="752" t="s">
        <v>60</v>
      </c>
      <c r="J1270" s="751">
        <v>611</v>
      </c>
      <c r="K1270" s="751">
        <v>5</v>
      </c>
      <c r="L1270" s="752" t="s">
        <v>423</v>
      </c>
      <c r="M1270" s="752" t="s">
        <v>44</v>
      </c>
      <c r="N1270" s="752" t="s">
        <v>48</v>
      </c>
      <c r="O1270" s="752" t="s">
        <v>48</v>
      </c>
      <c r="P1270" s="752" t="s">
        <v>49</v>
      </c>
      <c r="Q1270" s="753">
        <v>106</v>
      </c>
      <c r="R1270" s="753">
        <v>9</v>
      </c>
      <c r="S1270" s="753">
        <v>615</v>
      </c>
      <c r="T1270" s="753">
        <v>54</v>
      </c>
      <c r="U1270" s="753">
        <v>9.7249999999999996</v>
      </c>
      <c r="V1270" s="751">
        <v>2019</v>
      </c>
      <c r="W1270" s="222"/>
      <c r="X1270" s="186" t="str">
        <f t="shared" si="68"/>
        <v/>
      </c>
      <c r="Y1270" s="178" t="str">
        <f t="shared" si="66"/>
        <v/>
      </c>
      <c r="Z1270" s="178" t="str">
        <f t="shared" si="67"/>
        <v/>
      </c>
      <c r="AA1270" s="44"/>
      <c r="AB1270" s="65"/>
    </row>
    <row r="1271" spans="1:29" ht="25" hidden="1">
      <c r="A1271" s="751">
        <v>58157</v>
      </c>
      <c r="B1271" s="752" t="s">
        <v>56</v>
      </c>
      <c r="C1271" s="751" t="s">
        <v>2960</v>
      </c>
      <c r="D1271" s="752" t="s">
        <v>1300</v>
      </c>
      <c r="E1271" s="752" t="s">
        <v>1300</v>
      </c>
      <c r="F1271" s="751">
        <v>58107</v>
      </c>
      <c r="G1271" s="752" t="s">
        <v>59</v>
      </c>
      <c r="H1271" s="752" t="s">
        <v>1244</v>
      </c>
      <c r="I1271" s="752" t="s">
        <v>60</v>
      </c>
      <c r="J1271" s="751">
        <v>611</v>
      </c>
      <c r="K1271" s="751">
        <v>5</v>
      </c>
      <c r="L1271" s="752" t="s">
        <v>423</v>
      </c>
      <c r="M1271" s="752" t="s">
        <v>44</v>
      </c>
      <c r="N1271" s="752" t="s">
        <v>41</v>
      </c>
      <c r="O1271" s="752" t="s">
        <v>41</v>
      </c>
      <c r="P1271" s="752" t="s">
        <v>1091</v>
      </c>
      <c r="Q1271" s="753">
        <v>2313132</v>
      </c>
      <c r="R1271" s="753">
        <v>211561</v>
      </c>
      <c r="S1271" s="753">
        <v>2382526</v>
      </c>
      <c r="T1271" s="753">
        <v>217908</v>
      </c>
      <c r="U1271" s="753">
        <v>39027.925000000003</v>
      </c>
      <c r="V1271" s="751">
        <v>2019</v>
      </c>
      <c r="W1271" s="222"/>
      <c r="X1271" s="186" t="str">
        <f t="shared" si="68"/>
        <v/>
      </c>
      <c r="Y1271" s="178" t="str">
        <f t="shared" si="66"/>
        <v/>
      </c>
      <c r="Z1271" s="178" t="str">
        <f t="shared" si="67"/>
        <v/>
      </c>
      <c r="AA1271" s="44"/>
      <c r="AB1271" s="65"/>
    </row>
    <row r="1272" spans="1:29" ht="25" hidden="1">
      <c r="A1272" s="751">
        <v>58158</v>
      </c>
      <c r="B1272" s="752" t="s">
        <v>56</v>
      </c>
      <c r="C1272" s="751" t="s">
        <v>2960</v>
      </c>
      <c r="D1272" s="752" t="s">
        <v>1301</v>
      </c>
      <c r="E1272" s="752" t="s">
        <v>1302</v>
      </c>
      <c r="F1272" s="751">
        <v>58131</v>
      </c>
      <c r="G1272" s="752" t="s">
        <v>43</v>
      </c>
      <c r="H1272" s="752" t="s">
        <v>1245</v>
      </c>
      <c r="I1272" s="752" t="s">
        <v>60</v>
      </c>
      <c r="J1272" s="751">
        <v>611</v>
      </c>
      <c r="K1272" s="751">
        <v>5</v>
      </c>
      <c r="L1272" s="752" t="s">
        <v>423</v>
      </c>
      <c r="M1272" s="752" t="s">
        <v>53</v>
      </c>
      <c r="N1272" s="752" t="s">
        <v>41</v>
      </c>
      <c r="O1272" s="752" t="s">
        <v>41</v>
      </c>
      <c r="P1272" s="752" t="s">
        <v>1091</v>
      </c>
      <c r="Q1272" s="753">
        <v>109505</v>
      </c>
      <c r="R1272" s="753">
        <v>81487</v>
      </c>
      <c r="S1272" s="753">
        <v>113447</v>
      </c>
      <c r="T1272" s="753">
        <v>84421</v>
      </c>
      <c r="U1272" s="753">
        <v>11134</v>
      </c>
      <c r="V1272" s="751">
        <v>2019</v>
      </c>
      <c r="W1272" s="222"/>
      <c r="X1272" s="186" t="str">
        <f t="shared" si="68"/>
        <v/>
      </c>
      <c r="Y1272" s="178" t="str">
        <f t="shared" si="66"/>
        <v/>
      </c>
      <c r="Z1272" s="178" t="str">
        <f t="shared" si="67"/>
        <v/>
      </c>
      <c r="AA1272" s="44"/>
      <c r="AB1272" s="65"/>
    </row>
    <row r="1273" spans="1:29" ht="25" hidden="1">
      <c r="A1273" s="751">
        <v>58159</v>
      </c>
      <c r="B1273" s="752" t="s">
        <v>56</v>
      </c>
      <c r="C1273" s="751" t="s">
        <v>2960</v>
      </c>
      <c r="D1273" s="752" t="s">
        <v>1303</v>
      </c>
      <c r="E1273" s="752" t="s">
        <v>1304</v>
      </c>
      <c r="F1273" s="751">
        <v>58130</v>
      </c>
      <c r="G1273" s="752" t="s">
        <v>43</v>
      </c>
      <c r="H1273" s="752" t="s">
        <v>1245</v>
      </c>
      <c r="I1273" s="752" t="s">
        <v>60</v>
      </c>
      <c r="J1273" s="751">
        <v>611</v>
      </c>
      <c r="K1273" s="751">
        <v>5</v>
      </c>
      <c r="L1273" s="752" t="s">
        <v>423</v>
      </c>
      <c r="M1273" s="752" t="s">
        <v>40</v>
      </c>
      <c r="N1273" s="752" t="s">
        <v>48</v>
      </c>
      <c r="O1273" s="752" t="s">
        <v>48</v>
      </c>
      <c r="P1273" s="752" t="s">
        <v>49</v>
      </c>
      <c r="Q1273" s="753">
        <v>0</v>
      </c>
      <c r="R1273" s="753">
        <v>0</v>
      </c>
      <c r="S1273" s="753">
        <v>0</v>
      </c>
      <c r="T1273" s="753">
        <v>0</v>
      </c>
      <c r="U1273" s="753">
        <v>192.46600000000001</v>
      </c>
      <c r="V1273" s="751">
        <v>2019</v>
      </c>
      <c r="W1273" s="222"/>
      <c r="X1273" s="186" t="str">
        <f t="shared" si="68"/>
        <v/>
      </c>
      <c r="Y1273" s="178" t="str">
        <f t="shared" si="66"/>
        <v/>
      </c>
      <c r="Z1273" s="178" t="str">
        <f t="shared" si="67"/>
        <v/>
      </c>
      <c r="AA1273" s="44"/>
      <c r="AB1273" s="65"/>
    </row>
    <row r="1274" spans="1:29" ht="25" hidden="1">
      <c r="A1274" s="751">
        <v>58159</v>
      </c>
      <c r="B1274" s="752" t="s">
        <v>56</v>
      </c>
      <c r="C1274" s="751" t="s">
        <v>2960</v>
      </c>
      <c r="D1274" s="752" t="s">
        <v>1303</v>
      </c>
      <c r="E1274" s="752" t="s">
        <v>1304</v>
      </c>
      <c r="F1274" s="751">
        <v>58130</v>
      </c>
      <c r="G1274" s="752" t="s">
        <v>43</v>
      </c>
      <c r="H1274" s="752" t="s">
        <v>1245</v>
      </c>
      <c r="I1274" s="752" t="s">
        <v>60</v>
      </c>
      <c r="J1274" s="751">
        <v>611</v>
      </c>
      <c r="K1274" s="751">
        <v>5</v>
      </c>
      <c r="L1274" s="752" t="s">
        <v>423</v>
      </c>
      <c r="M1274" s="752" t="s">
        <v>40</v>
      </c>
      <c r="N1274" s="752" t="s">
        <v>41</v>
      </c>
      <c r="O1274" s="752" t="s">
        <v>41</v>
      </c>
      <c r="P1274" s="752" t="s">
        <v>1091</v>
      </c>
      <c r="Q1274" s="753">
        <v>133263</v>
      </c>
      <c r="R1274" s="753">
        <v>49120</v>
      </c>
      <c r="S1274" s="753">
        <v>146990</v>
      </c>
      <c r="T1274" s="753">
        <v>54181</v>
      </c>
      <c r="U1274" s="753">
        <v>9041.5339999999997</v>
      </c>
      <c r="V1274" s="751">
        <v>2019</v>
      </c>
      <c r="W1274" s="222"/>
      <c r="X1274" s="186" t="str">
        <f t="shared" si="68"/>
        <v/>
      </c>
      <c r="Y1274" s="178" t="str">
        <f t="shared" si="66"/>
        <v/>
      </c>
      <c r="Z1274" s="178" t="str">
        <f t="shared" si="67"/>
        <v/>
      </c>
      <c r="AA1274" s="44"/>
      <c r="AB1274" s="65"/>
    </row>
    <row r="1275" spans="1:29" ht="25" hidden="1">
      <c r="A1275" s="751">
        <v>58159</v>
      </c>
      <c r="B1275" s="752" t="s">
        <v>56</v>
      </c>
      <c r="C1275" s="751" t="s">
        <v>2960</v>
      </c>
      <c r="D1275" s="752" t="s">
        <v>1303</v>
      </c>
      <c r="E1275" s="752" t="s">
        <v>1304</v>
      </c>
      <c r="F1275" s="751">
        <v>58130</v>
      </c>
      <c r="G1275" s="752" t="s">
        <v>43</v>
      </c>
      <c r="H1275" s="752" t="s">
        <v>1245</v>
      </c>
      <c r="I1275" s="752" t="s">
        <v>60</v>
      </c>
      <c r="J1275" s="751">
        <v>611</v>
      </c>
      <c r="K1275" s="751">
        <v>5</v>
      </c>
      <c r="L1275" s="752" t="s">
        <v>423</v>
      </c>
      <c r="M1275" s="752" t="s">
        <v>43</v>
      </c>
      <c r="N1275" s="752" t="s">
        <v>48</v>
      </c>
      <c r="O1275" s="752" t="s">
        <v>48</v>
      </c>
      <c r="P1275" s="752" t="s">
        <v>49</v>
      </c>
      <c r="Q1275" s="753">
        <v>6180</v>
      </c>
      <c r="R1275" s="753">
        <v>3252</v>
      </c>
      <c r="S1275" s="753">
        <v>36598</v>
      </c>
      <c r="T1275" s="753">
        <v>19261</v>
      </c>
      <c r="U1275" s="753">
        <v>2988.01</v>
      </c>
      <c r="V1275" s="751">
        <v>2019</v>
      </c>
      <c r="W1275" s="222"/>
      <c r="X1275" s="186" t="str">
        <f t="shared" si="68"/>
        <v/>
      </c>
      <c r="Y1275" s="178" t="str">
        <f t="shared" si="66"/>
        <v/>
      </c>
      <c r="Z1275" s="178" t="str">
        <f t="shared" si="67"/>
        <v/>
      </c>
      <c r="AA1275" s="44"/>
      <c r="AB1275" s="65"/>
    </row>
    <row r="1276" spans="1:29" ht="25" hidden="1">
      <c r="A1276" s="751">
        <v>58159</v>
      </c>
      <c r="B1276" s="752" t="s">
        <v>56</v>
      </c>
      <c r="C1276" s="751" t="s">
        <v>2960</v>
      </c>
      <c r="D1276" s="752" t="s">
        <v>1303</v>
      </c>
      <c r="E1276" s="752" t="s">
        <v>1304</v>
      </c>
      <c r="F1276" s="751">
        <v>58130</v>
      </c>
      <c r="G1276" s="752" t="s">
        <v>43</v>
      </c>
      <c r="H1276" s="752" t="s">
        <v>1245</v>
      </c>
      <c r="I1276" s="752" t="s">
        <v>60</v>
      </c>
      <c r="J1276" s="751">
        <v>611</v>
      </c>
      <c r="K1276" s="751">
        <v>5</v>
      </c>
      <c r="L1276" s="752" t="s">
        <v>423</v>
      </c>
      <c r="M1276" s="752" t="s">
        <v>43</v>
      </c>
      <c r="N1276" s="752" t="s">
        <v>41</v>
      </c>
      <c r="O1276" s="752" t="s">
        <v>41</v>
      </c>
      <c r="P1276" s="752" t="s">
        <v>1091</v>
      </c>
      <c r="Q1276" s="753">
        <v>1206107</v>
      </c>
      <c r="R1276" s="753">
        <v>596843</v>
      </c>
      <c r="S1276" s="753">
        <v>1330338</v>
      </c>
      <c r="T1276" s="753">
        <v>658317</v>
      </c>
      <c r="U1276" s="753">
        <v>109738.99</v>
      </c>
      <c r="V1276" s="751">
        <v>2019</v>
      </c>
      <c r="W1276" s="222"/>
      <c r="X1276" s="186" t="str">
        <f t="shared" si="68"/>
        <v/>
      </c>
      <c r="Y1276" s="86" t="str">
        <f t="shared" si="66"/>
        <v/>
      </c>
      <c r="Z1276" s="86" t="str">
        <f t="shared" si="67"/>
        <v/>
      </c>
      <c r="AA1276" s="44"/>
      <c r="AB1276" s="65"/>
      <c r="AC1276" s="40"/>
    </row>
    <row r="1277" spans="1:29" ht="25" hidden="1">
      <c r="A1277" s="751">
        <v>58160</v>
      </c>
      <c r="B1277" s="752" t="s">
        <v>56</v>
      </c>
      <c r="C1277" s="751" t="s">
        <v>2960</v>
      </c>
      <c r="D1277" s="752" t="s">
        <v>1305</v>
      </c>
      <c r="E1277" s="752" t="s">
        <v>1306</v>
      </c>
      <c r="F1277" s="751">
        <v>58109</v>
      </c>
      <c r="G1277" s="752" t="s">
        <v>83</v>
      </c>
      <c r="H1277" s="752" t="s">
        <v>1245</v>
      </c>
      <c r="I1277" s="752" t="s">
        <v>60</v>
      </c>
      <c r="J1277" s="751">
        <v>611</v>
      </c>
      <c r="K1277" s="751">
        <v>5</v>
      </c>
      <c r="L1277" s="752" t="s">
        <v>423</v>
      </c>
      <c r="M1277" s="752" t="s">
        <v>53</v>
      </c>
      <c r="N1277" s="752" t="s">
        <v>48</v>
      </c>
      <c r="O1277" s="752" t="s">
        <v>48</v>
      </c>
      <c r="P1277" s="752" t="s">
        <v>49</v>
      </c>
      <c r="Q1277" s="753">
        <v>11</v>
      </c>
      <c r="R1277" s="753">
        <v>5</v>
      </c>
      <c r="S1277" s="753">
        <v>64</v>
      </c>
      <c r="T1277" s="753">
        <v>27</v>
      </c>
      <c r="U1277" s="753">
        <v>6</v>
      </c>
      <c r="V1277" s="751">
        <v>2019</v>
      </c>
      <c r="W1277" s="222"/>
      <c r="X1277" s="186" t="str">
        <f t="shared" si="68"/>
        <v/>
      </c>
      <c r="Y1277" s="86" t="str">
        <f t="shared" si="66"/>
        <v/>
      </c>
      <c r="Z1277" s="86" t="str">
        <f t="shared" si="67"/>
        <v/>
      </c>
      <c r="AA1277" s="44"/>
      <c r="AB1277" s="65"/>
      <c r="AC1277" s="40"/>
    </row>
    <row r="1278" spans="1:29" ht="25" hidden="1">
      <c r="A1278" s="751">
        <v>58160</v>
      </c>
      <c r="B1278" s="752" t="s">
        <v>56</v>
      </c>
      <c r="C1278" s="751" t="s">
        <v>2960</v>
      </c>
      <c r="D1278" s="752" t="s">
        <v>1305</v>
      </c>
      <c r="E1278" s="752" t="s">
        <v>1306</v>
      </c>
      <c r="F1278" s="751">
        <v>58109</v>
      </c>
      <c r="G1278" s="752" t="s">
        <v>83</v>
      </c>
      <c r="H1278" s="752" t="s">
        <v>1245</v>
      </c>
      <c r="I1278" s="752" t="s">
        <v>60</v>
      </c>
      <c r="J1278" s="751">
        <v>611</v>
      </c>
      <c r="K1278" s="751">
        <v>5</v>
      </c>
      <c r="L1278" s="752" t="s">
        <v>423</v>
      </c>
      <c r="M1278" s="752" t="s">
        <v>44</v>
      </c>
      <c r="N1278" s="752" t="s">
        <v>48</v>
      </c>
      <c r="O1278" s="752" t="s">
        <v>48</v>
      </c>
      <c r="P1278" s="752" t="s">
        <v>49</v>
      </c>
      <c r="Q1278" s="753">
        <v>172</v>
      </c>
      <c r="R1278" s="753">
        <v>29</v>
      </c>
      <c r="S1278" s="753">
        <v>998</v>
      </c>
      <c r="T1278" s="753">
        <v>171</v>
      </c>
      <c r="U1278" s="753">
        <v>34.366999999999997</v>
      </c>
      <c r="V1278" s="751">
        <v>2019</v>
      </c>
      <c r="W1278" s="222"/>
      <c r="X1278" s="186" t="str">
        <f t="shared" si="68"/>
        <v/>
      </c>
      <c r="Y1278" s="86" t="str">
        <f t="shared" si="66"/>
        <v/>
      </c>
      <c r="Z1278" s="86" t="str">
        <f t="shared" si="67"/>
        <v/>
      </c>
      <c r="AA1278" s="44"/>
      <c r="AB1278" s="65"/>
      <c r="AC1278" s="40"/>
    </row>
    <row r="1279" spans="1:29" ht="25" hidden="1">
      <c r="A1279" s="751">
        <v>58160</v>
      </c>
      <c r="B1279" s="752" t="s">
        <v>56</v>
      </c>
      <c r="C1279" s="751" t="s">
        <v>2960</v>
      </c>
      <c r="D1279" s="752" t="s">
        <v>1305</v>
      </c>
      <c r="E1279" s="752" t="s">
        <v>1306</v>
      </c>
      <c r="F1279" s="751">
        <v>58109</v>
      </c>
      <c r="G1279" s="752" t="s">
        <v>83</v>
      </c>
      <c r="H1279" s="752" t="s">
        <v>1245</v>
      </c>
      <c r="I1279" s="752" t="s">
        <v>60</v>
      </c>
      <c r="J1279" s="751">
        <v>611</v>
      </c>
      <c r="K1279" s="751">
        <v>5</v>
      </c>
      <c r="L1279" s="752" t="s">
        <v>423</v>
      </c>
      <c r="M1279" s="752" t="s">
        <v>44</v>
      </c>
      <c r="N1279" s="752" t="s">
        <v>41</v>
      </c>
      <c r="O1279" s="752" t="s">
        <v>41</v>
      </c>
      <c r="P1279" s="752" t="s">
        <v>1091</v>
      </c>
      <c r="Q1279" s="753">
        <v>136441</v>
      </c>
      <c r="R1279" s="753">
        <v>23225</v>
      </c>
      <c r="S1279" s="753">
        <v>140534</v>
      </c>
      <c r="T1279" s="753">
        <v>23921</v>
      </c>
      <c r="U1279" s="753">
        <v>4844.6329999999998</v>
      </c>
      <c r="V1279" s="751">
        <v>2019</v>
      </c>
      <c r="W1279" s="222"/>
      <c r="X1279" s="186" t="str">
        <f t="shared" si="68"/>
        <v/>
      </c>
      <c r="Y1279" s="178" t="str">
        <f t="shared" si="66"/>
        <v/>
      </c>
      <c r="Z1279" s="178" t="str">
        <f t="shared" si="67"/>
        <v/>
      </c>
      <c r="AA1279" s="44"/>
      <c r="AB1279" s="65"/>
      <c r="AC1279" s="40"/>
    </row>
    <row r="1280" spans="1:29" ht="25" hidden="1">
      <c r="A1280" s="751">
        <v>58160</v>
      </c>
      <c r="B1280" s="752" t="s">
        <v>56</v>
      </c>
      <c r="C1280" s="751" t="s">
        <v>2960</v>
      </c>
      <c r="D1280" s="752" t="s">
        <v>1305</v>
      </c>
      <c r="E1280" s="752" t="s">
        <v>1306</v>
      </c>
      <c r="F1280" s="751">
        <v>58109</v>
      </c>
      <c r="G1280" s="752" t="s">
        <v>83</v>
      </c>
      <c r="H1280" s="752" t="s">
        <v>1245</v>
      </c>
      <c r="I1280" s="752" t="s">
        <v>60</v>
      </c>
      <c r="J1280" s="751">
        <v>611</v>
      </c>
      <c r="K1280" s="751">
        <v>5</v>
      </c>
      <c r="L1280" s="752" t="s">
        <v>423</v>
      </c>
      <c r="M1280" s="752" t="s">
        <v>44</v>
      </c>
      <c r="N1280" s="752" t="s">
        <v>63</v>
      </c>
      <c r="O1280" s="752" t="s">
        <v>63</v>
      </c>
      <c r="P1280" s="752" t="s">
        <v>49</v>
      </c>
      <c r="Q1280" s="753">
        <v>0</v>
      </c>
      <c r="R1280" s="753">
        <v>0</v>
      </c>
      <c r="S1280" s="753">
        <v>0</v>
      </c>
      <c r="T1280" s="753">
        <v>0</v>
      </c>
      <c r="U1280" s="753">
        <v>0</v>
      </c>
      <c r="V1280" s="751">
        <v>2019</v>
      </c>
      <c r="W1280" s="222"/>
      <c r="X1280" s="186" t="str">
        <f t="shared" si="68"/>
        <v/>
      </c>
      <c r="Y1280" s="178" t="str">
        <f t="shared" si="66"/>
        <v/>
      </c>
      <c r="Z1280" s="178" t="str">
        <f t="shared" si="67"/>
        <v/>
      </c>
      <c r="AA1280" s="44"/>
      <c r="AB1280" s="65"/>
      <c r="AC1280" s="40"/>
    </row>
    <row r="1281" spans="1:29" ht="25" hidden="1">
      <c r="A1281" s="751">
        <v>58163</v>
      </c>
      <c r="B1281" s="752" t="s">
        <v>35</v>
      </c>
      <c r="C1281" s="751" t="s">
        <v>2960</v>
      </c>
      <c r="D1281" s="752" t="s">
        <v>1307</v>
      </c>
      <c r="E1281" s="752" t="s">
        <v>1307</v>
      </c>
      <c r="F1281" s="751">
        <v>58133</v>
      </c>
      <c r="G1281" s="752" t="s">
        <v>59</v>
      </c>
      <c r="H1281" s="752" t="s">
        <v>1244</v>
      </c>
      <c r="I1281" s="752" t="s">
        <v>60</v>
      </c>
      <c r="J1281" s="751">
        <v>622</v>
      </c>
      <c r="K1281" s="751">
        <v>4</v>
      </c>
      <c r="L1281" s="752" t="s">
        <v>422</v>
      </c>
      <c r="M1281" s="752" t="s">
        <v>53</v>
      </c>
      <c r="N1281" s="752" t="s">
        <v>48</v>
      </c>
      <c r="O1281" s="752" t="s">
        <v>48</v>
      </c>
      <c r="P1281" s="752" t="s">
        <v>49</v>
      </c>
      <c r="Q1281" s="753">
        <v>17</v>
      </c>
      <c r="R1281" s="753">
        <v>17</v>
      </c>
      <c r="S1281" s="753">
        <v>94</v>
      </c>
      <c r="T1281" s="753">
        <v>94</v>
      </c>
      <c r="U1281" s="753">
        <v>9</v>
      </c>
      <c r="V1281" s="751">
        <v>2019</v>
      </c>
      <c r="W1281" s="222"/>
      <c r="X1281" s="186" t="str">
        <f t="shared" si="68"/>
        <v/>
      </c>
      <c r="Y1281" s="86" t="str">
        <f t="shared" si="66"/>
        <v/>
      </c>
      <c r="Z1281" s="86" t="str">
        <f t="shared" si="67"/>
        <v/>
      </c>
      <c r="AA1281" s="44"/>
      <c r="AB1281" s="65"/>
      <c r="AC1281" s="40"/>
    </row>
    <row r="1282" spans="1:29" ht="25" hidden="1">
      <c r="A1282" s="751">
        <v>58166</v>
      </c>
      <c r="B1282" s="752" t="s">
        <v>56</v>
      </c>
      <c r="C1282" s="751" t="s">
        <v>2960</v>
      </c>
      <c r="D1282" s="752" t="s">
        <v>1308</v>
      </c>
      <c r="E1282" s="752" t="s">
        <v>1309</v>
      </c>
      <c r="F1282" s="751">
        <v>58138</v>
      </c>
      <c r="G1282" s="752" t="s">
        <v>83</v>
      </c>
      <c r="H1282" s="752" t="s">
        <v>1245</v>
      </c>
      <c r="I1282" s="752" t="s">
        <v>60</v>
      </c>
      <c r="J1282" s="751">
        <v>611</v>
      </c>
      <c r="K1282" s="751">
        <v>5</v>
      </c>
      <c r="L1282" s="752" t="s">
        <v>423</v>
      </c>
      <c r="M1282" s="752" t="s">
        <v>52</v>
      </c>
      <c r="N1282" s="752" t="s">
        <v>48</v>
      </c>
      <c r="O1282" s="752" t="s">
        <v>48</v>
      </c>
      <c r="P1282" s="752" t="s">
        <v>49</v>
      </c>
      <c r="Q1282" s="753">
        <v>0</v>
      </c>
      <c r="R1282" s="753">
        <v>0</v>
      </c>
      <c r="S1282" s="753">
        <v>0</v>
      </c>
      <c r="T1282" s="753">
        <v>0</v>
      </c>
      <c r="U1282" s="753">
        <v>0</v>
      </c>
      <c r="V1282" s="751">
        <v>2019</v>
      </c>
      <c r="W1282" s="222"/>
      <c r="X1282" s="186" t="str">
        <f t="shared" si="68"/>
        <v/>
      </c>
      <c r="Y1282" s="178" t="str">
        <f t="shared" si="66"/>
        <v/>
      </c>
      <c r="Z1282" s="178" t="str">
        <f t="shared" si="67"/>
        <v/>
      </c>
      <c r="AA1282" s="44"/>
      <c r="AB1282" s="65"/>
      <c r="AC1282" s="40"/>
    </row>
    <row r="1283" spans="1:29" ht="25" hidden="1">
      <c r="A1283" s="751">
        <v>58166</v>
      </c>
      <c r="B1283" s="752" t="s">
        <v>56</v>
      </c>
      <c r="C1283" s="751" t="s">
        <v>2960</v>
      </c>
      <c r="D1283" s="752" t="s">
        <v>1308</v>
      </c>
      <c r="E1283" s="752" t="s">
        <v>1309</v>
      </c>
      <c r="F1283" s="751">
        <v>58138</v>
      </c>
      <c r="G1283" s="752" t="s">
        <v>83</v>
      </c>
      <c r="H1283" s="752" t="s">
        <v>1245</v>
      </c>
      <c r="I1283" s="752" t="s">
        <v>60</v>
      </c>
      <c r="J1283" s="751">
        <v>611</v>
      </c>
      <c r="K1283" s="751">
        <v>5</v>
      </c>
      <c r="L1283" s="752" t="s">
        <v>423</v>
      </c>
      <c r="M1283" s="752" t="s">
        <v>52</v>
      </c>
      <c r="N1283" s="752" t="s">
        <v>41</v>
      </c>
      <c r="O1283" s="752" t="s">
        <v>41</v>
      </c>
      <c r="P1283" s="752" t="s">
        <v>1091</v>
      </c>
      <c r="Q1283" s="753">
        <v>295428</v>
      </c>
      <c r="R1283" s="753">
        <v>66994</v>
      </c>
      <c r="S1283" s="753">
        <v>236344</v>
      </c>
      <c r="T1283" s="753">
        <v>53593</v>
      </c>
      <c r="U1283" s="753">
        <v>12930.12</v>
      </c>
      <c r="V1283" s="751">
        <v>2019</v>
      </c>
      <c r="W1283" s="222"/>
      <c r="X1283" s="186" t="str">
        <f t="shared" si="68"/>
        <v/>
      </c>
      <c r="Y1283" s="178">
        <f t="shared" si="66"/>
        <v>7.0302161512451891</v>
      </c>
      <c r="Z1283" s="178" t="str">
        <f t="shared" si="67"/>
        <v/>
      </c>
      <c r="AA1283" s="44"/>
      <c r="AB1283" s="65"/>
      <c r="AC1283" s="40"/>
    </row>
    <row r="1284" spans="1:29" ht="25" hidden="1">
      <c r="A1284" s="751">
        <v>58167</v>
      </c>
      <c r="B1284" s="752" t="s">
        <v>56</v>
      </c>
      <c r="C1284" s="751" t="s">
        <v>2960</v>
      </c>
      <c r="D1284" s="752" t="s">
        <v>1778</v>
      </c>
      <c r="E1284" s="752" t="s">
        <v>1778</v>
      </c>
      <c r="F1284" s="751">
        <v>58136</v>
      </c>
      <c r="G1284" s="752" t="s">
        <v>59</v>
      </c>
      <c r="H1284" s="752" t="s">
        <v>1244</v>
      </c>
      <c r="I1284" s="752" t="s">
        <v>60</v>
      </c>
      <c r="J1284" s="751">
        <v>611</v>
      </c>
      <c r="K1284" s="751">
        <v>5</v>
      </c>
      <c r="L1284" s="752" t="s">
        <v>423</v>
      </c>
      <c r="M1284" s="752" t="s">
        <v>53</v>
      </c>
      <c r="N1284" s="752" t="s">
        <v>48</v>
      </c>
      <c r="O1284" s="752" t="s">
        <v>48</v>
      </c>
      <c r="P1284" s="752" t="s">
        <v>49</v>
      </c>
      <c r="Q1284" s="753">
        <v>0</v>
      </c>
      <c r="R1284" s="753">
        <v>0</v>
      </c>
      <c r="S1284" s="753">
        <v>0</v>
      </c>
      <c r="T1284" s="753">
        <v>0</v>
      </c>
      <c r="U1284" s="753">
        <v>0</v>
      </c>
      <c r="V1284" s="751">
        <v>2019</v>
      </c>
      <c r="W1284" s="222"/>
      <c r="X1284" s="186" t="str">
        <f t="shared" si="68"/>
        <v/>
      </c>
      <c r="Y1284" s="178" t="str">
        <f t="shared" si="66"/>
        <v/>
      </c>
      <c r="Z1284" s="178" t="str">
        <f t="shared" si="67"/>
        <v/>
      </c>
      <c r="AA1284" s="44"/>
      <c r="AB1284" s="65"/>
      <c r="AC1284" s="40"/>
    </row>
    <row r="1285" spans="1:29" ht="25" hidden="1">
      <c r="A1285" s="751">
        <v>58167</v>
      </c>
      <c r="B1285" s="752" t="s">
        <v>56</v>
      </c>
      <c r="C1285" s="751" t="s">
        <v>2960</v>
      </c>
      <c r="D1285" s="752" t="s">
        <v>1778</v>
      </c>
      <c r="E1285" s="752" t="s">
        <v>1778</v>
      </c>
      <c r="F1285" s="751">
        <v>58136</v>
      </c>
      <c r="G1285" s="752" t="s">
        <v>59</v>
      </c>
      <c r="H1285" s="752" t="s">
        <v>1244</v>
      </c>
      <c r="I1285" s="752" t="s">
        <v>60</v>
      </c>
      <c r="J1285" s="751">
        <v>611</v>
      </c>
      <c r="K1285" s="751">
        <v>5</v>
      </c>
      <c r="L1285" s="752" t="s">
        <v>423</v>
      </c>
      <c r="M1285" s="752" t="s">
        <v>53</v>
      </c>
      <c r="N1285" s="752" t="s">
        <v>41</v>
      </c>
      <c r="O1285" s="752" t="s">
        <v>41</v>
      </c>
      <c r="P1285" s="752" t="s">
        <v>1091</v>
      </c>
      <c r="Q1285" s="753">
        <v>170028</v>
      </c>
      <c r="R1285" s="753">
        <v>10967</v>
      </c>
      <c r="S1285" s="753">
        <v>175128</v>
      </c>
      <c r="T1285" s="753">
        <v>11296</v>
      </c>
      <c r="U1285" s="753">
        <v>2516</v>
      </c>
      <c r="V1285" s="751">
        <v>2019</v>
      </c>
      <c r="W1285" s="222"/>
      <c r="X1285" s="186"/>
      <c r="Y1285" s="86" t="str">
        <f t="shared" si="66"/>
        <v/>
      </c>
      <c r="Z1285" s="86" t="str">
        <f t="shared" si="67"/>
        <v/>
      </c>
      <c r="AA1285" s="44"/>
      <c r="AB1285" s="65"/>
      <c r="AC1285" s="40"/>
    </row>
    <row r="1286" spans="1:29" hidden="1">
      <c r="A1286" s="751">
        <v>58174</v>
      </c>
      <c r="B1286" s="752" t="s">
        <v>35</v>
      </c>
      <c r="C1286" s="751" t="s">
        <v>2960</v>
      </c>
      <c r="D1286" s="752" t="s">
        <v>1678</v>
      </c>
      <c r="E1286" s="752" t="s">
        <v>1285</v>
      </c>
      <c r="F1286" s="751">
        <v>57365</v>
      </c>
      <c r="G1286" s="752" t="s">
        <v>83</v>
      </c>
      <c r="H1286" s="752" t="s">
        <v>1245</v>
      </c>
      <c r="I1286" s="752" t="s">
        <v>60</v>
      </c>
      <c r="J1286" s="751">
        <v>22</v>
      </c>
      <c r="K1286" s="751">
        <v>2</v>
      </c>
      <c r="L1286" s="752" t="s">
        <v>54</v>
      </c>
      <c r="M1286" s="752" t="s">
        <v>468</v>
      </c>
      <c r="N1286" s="752" t="s">
        <v>469</v>
      </c>
      <c r="O1286" s="752" t="s">
        <v>469</v>
      </c>
      <c r="P1286" s="752" t="s">
        <v>1238</v>
      </c>
      <c r="Q1286" s="753">
        <v>0</v>
      </c>
      <c r="R1286" s="753">
        <v>0</v>
      </c>
      <c r="S1286" s="753">
        <v>25197</v>
      </c>
      <c r="T1286" s="753">
        <v>25197</v>
      </c>
      <c r="U1286" s="753">
        <v>2830</v>
      </c>
      <c r="V1286" s="751">
        <v>2019</v>
      </c>
      <c r="W1286" s="222"/>
      <c r="X1286" s="186">
        <f>IF(OR(K1286&gt;3,T1286=0,NOT(U1286&gt;0)),"",T1286/U1286)</f>
        <v>8.903533568904594</v>
      </c>
      <c r="Y1286" s="86" t="str">
        <f t="shared" si="66"/>
        <v/>
      </c>
      <c r="Z1286" s="86" t="str">
        <f t="shared" si="67"/>
        <v/>
      </c>
      <c r="AA1286" s="44"/>
      <c r="AB1286" s="65"/>
      <c r="AC1286" s="40"/>
    </row>
    <row r="1287" spans="1:29" ht="25" hidden="1">
      <c r="A1287" s="751">
        <v>58180</v>
      </c>
      <c r="B1287" s="752" t="s">
        <v>56</v>
      </c>
      <c r="C1287" s="751" t="s">
        <v>2960</v>
      </c>
      <c r="D1287" s="752" t="s">
        <v>1310</v>
      </c>
      <c r="E1287" s="752" t="s">
        <v>1311</v>
      </c>
      <c r="F1287" s="751">
        <v>58099</v>
      </c>
      <c r="G1287" s="752" t="s">
        <v>98</v>
      </c>
      <c r="H1287" s="752" t="s">
        <v>1245</v>
      </c>
      <c r="I1287" s="752" t="s">
        <v>60</v>
      </c>
      <c r="J1287" s="751">
        <v>611</v>
      </c>
      <c r="K1287" s="751">
        <v>5</v>
      </c>
      <c r="L1287" s="752" t="s">
        <v>423</v>
      </c>
      <c r="M1287" s="752" t="s">
        <v>52</v>
      </c>
      <c r="N1287" s="752" t="s">
        <v>48</v>
      </c>
      <c r="O1287" s="752" t="s">
        <v>48</v>
      </c>
      <c r="P1287" s="752" t="s">
        <v>49</v>
      </c>
      <c r="Q1287" s="753">
        <v>1759</v>
      </c>
      <c r="R1287" s="753">
        <v>569</v>
      </c>
      <c r="S1287" s="753">
        <v>10268</v>
      </c>
      <c r="T1287" s="753">
        <v>3322</v>
      </c>
      <c r="U1287" s="753">
        <v>806.125</v>
      </c>
      <c r="V1287" s="751">
        <v>2019</v>
      </c>
      <c r="W1287" s="222"/>
      <c r="X1287" s="186" t="str">
        <f>IF(OR(K1287&gt;3,T1287=0,NOT(U1287&gt;0)),"",T1287/U1287)</f>
        <v/>
      </c>
      <c r="Y1287" s="86" t="str">
        <f t="shared" ref="Y1287:Y1350" si="69">IF(AND($M1287=$Y$2,$N1287=$Y$3,NOT($Q1287=$R1287),NOT($U1287=0)),IF($K1287=5,$S1287/($U1287+(8/5)*$U1287),IF($K1287=7,$S1287/($U1287+(29/25)*$U1287),"")),"")</f>
        <v/>
      </c>
      <c r="Z1287" s="86">
        <f t="shared" ref="Z1287:Z1350" si="70">IF(AND($M1287=$Y$2,$N1287=$Y$4,NOT($Q1287=$R1287),NOT($U1287=0)),IF($K1287=5,$S1287/($U1287+(8/5)*$U1287),IF($K1287=7,$S1287/($U1287+(29/25)*$U1287),"")),"")</f>
        <v>4.8990302611018999</v>
      </c>
      <c r="AA1287" s="44"/>
      <c r="AB1287" s="65"/>
      <c r="AC1287" s="40"/>
    </row>
    <row r="1288" spans="1:29" ht="25" hidden="1">
      <c r="A1288" s="751">
        <v>58180</v>
      </c>
      <c r="B1288" s="752" t="s">
        <v>56</v>
      </c>
      <c r="C1288" s="751" t="s">
        <v>2960</v>
      </c>
      <c r="D1288" s="752" t="s">
        <v>1310</v>
      </c>
      <c r="E1288" s="752" t="s">
        <v>1311</v>
      </c>
      <c r="F1288" s="751">
        <v>58099</v>
      </c>
      <c r="G1288" s="752" t="s">
        <v>98</v>
      </c>
      <c r="H1288" s="752" t="s">
        <v>1245</v>
      </c>
      <c r="I1288" s="752" t="s">
        <v>60</v>
      </c>
      <c r="J1288" s="751">
        <v>611</v>
      </c>
      <c r="K1288" s="751">
        <v>5</v>
      </c>
      <c r="L1288" s="752" t="s">
        <v>423</v>
      </c>
      <c r="M1288" s="752" t="s">
        <v>52</v>
      </c>
      <c r="N1288" s="752" t="s">
        <v>65</v>
      </c>
      <c r="O1288" s="752" t="s">
        <v>66</v>
      </c>
      <c r="P1288" s="752" t="s">
        <v>1091</v>
      </c>
      <c r="Q1288" s="753">
        <v>669084</v>
      </c>
      <c r="R1288" s="753">
        <v>217323</v>
      </c>
      <c r="S1288" s="753">
        <v>507958</v>
      </c>
      <c r="T1288" s="753">
        <v>164947</v>
      </c>
      <c r="U1288" s="753">
        <v>40024.373</v>
      </c>
      <c r="V1288" s="751">
        <v>2019</v>
      </c>
      <c r="W1288" s="222"/>
      <c r="X1288" s="186" t="str">
        <f>IF(OR(K1288&gt;3,T1288=0,NOT(U1288&gt;0)),"",T1288/U1288)</f>
        <v/>
      </c>
      <c r="Y1288" s="86" t="str">
        <f t="shared" si="69"/>
        <v/>
      </c>
      <c r="Z1288" s="86" t="str">
        <f t="shared" si="70"/>
        <v/>
      </c>
      <c r="AA1288" s="44"/>
      <c r="AB1288" s="65"/>
      <c r="AC1288" s="40"/>
    </row>
    <row r="1289" spans="1:29" ht="25" hidden="1">
      <c r="A1289" s="751">
        <v>58180</v>
      </c>
      <c r="B1289" s="752" t="s">
        <v>56</v>
      </c>
      <c r="C1289" s="751" t="s">
        <v>2960</v>
      </c>
      <c r="D1289" s="752" t="s">
        <v>1310</v>
      </c>
      <c r="E1289" s="752" t="s">
        <v>1311</v>
      </c>
      <c r="F1289" s="751">
        <v>58099</v>
      </c>
      <c r="G1289" s="752" t="s">
        <v>98</v>
      </c>
      <c r="H1289" s="752" t="s">
        <v>1245</v>
      </c>
      <c r="I1289" s="752" t="s">
        <v>60</v>
      </c>
      <c r="J1289" s="751">
        <v>611</v>
      </c>
      <c r="K1289" s="751">
        <v>5</v>
      </c>
      <c r="L1289" s="752" t="s">
        <v>423</v>
      </c>
      <c r="M1289" s="752" t="s">
        <v>52</v>
      </c>
      <c r="N1289" s="752" t="s">
        <v>41</v>
      </c>
      <c r="O1289" s="752" t="s">
        <v>41</v>
      </c>
      <c r="P1289" s="752" t="s">
        <v>1091</v>
      </c>
      <c r="Q1289" s="753">
        <v>138242</v>
      </c>
      <c r="R1289" s="753">
        <v>44588</v>
      </c>
      <c r="S1289" s="753">
        <v>138242</v>
      </c>
      <c r="T1289" s="753">
        <v>44588</v>
      </c>
      <c r="U1289" s="753">
        <v>10817.502</v>
      </c>
      <c r="V1289" s="751">
        <v>2019</v>
      </c>
      <c r="W1289" s="222"/>
      <c r="X1289" s="186" t="str">
        <f>IF(OR(K1289&gt;3,T1289=0,NOT(U1289&gt;0)),"",T1289/U1289)</f>
        <v/>
      </c>
      <c r="Y1289" s="86">
        <f t="shared" si="69"/>
        <v>4.9151828213204851</v>
      </c>
      <c r="Z1289" s="86" t="str">
        <f t="shared" si="70"/>
        <v/>
      </c>
      <c r="AA1289" s="44"/>
      <c r="AB1289" s="65"/>
      <c r="AC1289" s="40"/>
    </row>
    <row r="1290" spans="1:29" ht="25" hidden="1">
      <c r="A1290" s="751">
        <v>58184</v>
      </c>
      <c r="B1290" s="752" t="s">
        <v>56</v>
      </c>
      <c r="C1290" s="751" t="s">
        <v>2960</v>
      </c>
      <c r="D1290" s="752" t="s">
        <v>1312</v>
      </c>
      <c r="E1290" s="752" t="s">
        <v>1313</v>
      </c>
      <c r="F1290" s="751">
        <v>58156</v>
      </c>
      <c r="G1290" s="752" t="s">
        <v>43</v>
      </c>
      <c r="H1290" s="752" t="s">
        <v>1245</v>
      </c>
      <c r="I1290" s="752" t="s">
        <v>60</v>
      </c>
      <c r="J1290" s="751">
        <v>32213</v>
      </c>
      <c r="K1290" s="751">
        <v>7</v>
      </c>
      <c r="L1290" s="752" t="s">
        <v>419</v>
      </c>
      <c r="M1290" s="752" t="s">
        <v>52</v>
      </c>
      <c r="N1290" s="752" t="s">
        <v>48</v>
      </c>
      <c r="O1290" s="752" t="s">
        <v>48</v>
      </c>
      <c r="P1290" s="752" t="s">
        <v>49</v>
      </c>
      <c r="Q1290" s="753">
        <v>0</v>
      </c>
      <c r="R1290" s="753">
        <v>0</v>
      </c>
      <c r="S1290" s="753">
        <v>0</v>
      </c>
      <c r="T1290" s="753">
        <v>0</v>
      </c>
      <c r="U1290" s="753">
        <v>0</v>
      </c>
      <c r="V1290" s="751">
        <v>2019</v>
      </c>
      <c r="W1290" s="222"/>
      <c r="X1290" s="186"/>
      <c r="Y1290" s="86" t="str">
        <f t="shared" si="69"/>
        <v/>
      </c>
      <c r="Z1290" s="86" t="str">
        <f t="shared" si="70"/>
        <v/>
      </c>
      <c r="AA1290" s="44"/>
      <c r="AB1290" s="65"/>
      <c r="AC1290" s="40"/>
    </row>
    <row r="1291" spans="1:29" ht="25" hidden="1">
      <c r="A1291" s="751">
        <v>58184</v>
      </c>
      <c r="B1291" s="752" t="s">
        <v>56</v>
      </c>
      <c r="C1291" s="751" t="s">
        <v>2960</v>
      </c>
      <c r="D1291" s="752" t="s">
        <v>1312</v>
      </c>
      <c r="E1291" s="752" t="s">
        <v>1313</v>
      </c>
      <c r="F1291" s="751">
        <v>58156</v>
      </c>
      <c r="G1291" s="752" t="s">
        <v>43</v>
      </c>
      <c r="H1291" s="752" t="s">
        <v>1245</v>
      </c>
      <c r="I1291" s="752" t="s">
        <v>60</v>
      </c>
      <c r="J1291" s="751">
        <v>32213</v>
      </c>
      <c r="K1291" s="751">
        <v>7</v>
      </c>
      <c r="L1291" s="752" t="s">
        <v>419</v>
      </c>
      <c r="M1291" s="752" t="s">
        <v>52</v>
      </c>
      <c r="N1291" s="752" t="s">
        <v>41</v>
      </c>
      <c r="O1291" s="752" t="s">
        <v>41</v>
      </c>
      <c r="P1291" s="752" t="s">
        <v>1091</v>
      </c>
      <c r="Q1291" s="753">
        <v>1639392</v>
      </c>
      <c r="R1291" s="753">
        <v>494200</v>
      </c>
      <c r="S1291" s="753">
        <v>1643611</v>
      </c>
      <c r="T1291" s="753">
        <v>495525</v>
      </c>
      <c r="U1291" s="753">
        <v>117422</v>
      </c>
      <c r="V1291" s="751">
        <v>2019</v>
      </c>
      <c r="W1291" s="222"/>
      <c r="X1291" s="186" t="str">
        <f t="shared" ref="X1291:X1298" si="71">IF(OR(K1291&gt;3,T1291=0,NOT(U1291&gt;0)),"",T1291/U1291)</f>
        <v/>
      </c>
      <c r="Y1291" s="86">
        <f t="shared" si="69"/>
        <v>6.4803104913774128</v>
      </c>
      <c r="Z1291" s="86" t="str">
        <f t="shared" si="70"/>
        <v/>
      </c>
      <c r="AA1291" s="44"/>
      <c r="AB1291" s="65"/>
      <c r="AC1291" s="40"/>
    </row>
    <row r="1292" spans="1:29" ht="25" hidden="1">
      <c r="A1292" s="751">
        <v>58185</v>
      </c>
      <c r="B1292" s="752" t="s">
        <v>56</v>
      </c>
      <c r="C1292" s="751" t="s">
        <v>2960</v>
      </c>
      <c r="D1292" s="752" t="s">
        <v>1314</v>
      </c>
      <c r="E1292" s="752" t="s">
        <v>1315</v>
      </c>
      <c r="F1292" s="751">
        <v>58152</v>
      </c>
      <c r="G1292" s="752" t="s">
        <v>83</v>
      </c>
      <c r="H1292" s="752" t="s">
        <v>1245</v>
      </c>
      <c r="I1292" s="752" t="s">
        <v>60</v>
      </c>
      <c r="J1292" s="751">
        <v>611</v>
      </c>
      <c r="K1292" s="751">
        <v>5</v>
      </c>
      <c r="L1292" s="752" t="s">
        <v>423</v>
      </c>
      <c r="M1292" s="752" t="s">
        <v>52</v>
      </c>
      <c r="N1292" s="752" t="s">
        <v>48</v>
      </c>
      <c r="O1292" s="752" t="s">
        <v>48</v>
      </c>
      <c r="P1292" s="752" t="s">
        <v>49</v>
      </c>
      <c r="Q1292" s="753">
        <v>0</v>
      </c>
      <c r="R1292" s="753">
        <v>0</v>
      </c>
      <c r="S1292" s="753">
        <v>0</v>
      </c>
      <c r="T1292" s="753">
        <v>0</v>
      </c>
      <c r="U1292" s="753">
        <v>0</v>
      </c>
      <c r="V1292" s="751">
        <v>2019</v>
      </c>
      <c r="W1292" s="222"/>
      <c r="X1292" s="186" t="str">
        <f t="shared" si="71"/>
        <v/>
      </c>
      <c r="Y1292" s="86" t="str">
        <f t="shared" si="69"/>
        <v/>
      </c>
      <c r="Z1292" s="86" t="str">
        <f t="shared" si="70"/>
        <v/>
      </c>
      <c r="AA1292" s="44"/>
      <c r="AB1292" s="65"/>
      <c r="AC1292" s="40"/>
    </row>
    <row r="1293" spans="1:29" ht="25" hidden="1">
      <c r="A1293" s="751">
        <v>58185</v>
      </c>
      <c r="B1293" s="752" t="s">
        <v>56</v>
      </c>
      <c r="C1293" s="751" t="s">
        <v>2960</v>
      </c>
      <c r="D1293" s="752" t="s">
        <v>1314</v>
      </c>
      <c r="E1293" s="752" t="s">
        <v>1315</v>
      </c>
      <c r="F1293" s="751">
        <v>58152</v>
      </c>
      <c r="G1293" s="752" t="s">
        <v>83</v>
      </c>
      <c r="H1293" s="752" t="s">
        <v>1245</v>
      </c>
      <c r="I1293" s="752" t="s">
        <v>60</v>
      </c>
      <c r="J1293" s="751">
        <v>611</v>
      </c>
      <c r="K1293" s="751">
        <v>5</v>
      </c>
      <c r="L1293" s="752" t="s">
        <v>423</v>
      </c>
      <c r="M1293" s="752" t="s">
        <v>52</v>
      </c>
      <c r="N1293" s="752" t="s">
        <v>41</v>
      </c>
      <c r="O1293" s="752" t="s">
        <v>41</v>
      </c>
      <c r="P1293" s="752" t="s">
        <v>1091</v>
      </c>
      <c r="Q1293" s="753">
        <v>115760</v>
      </c>
      <c r="R1293" s="753">
        <v>33902</v>
      </c>
      <c r="S1293" s="753">
        <v>92609</v>
      </c>
      <c r="T1293" s="753">
        <v>27121</v>
      </c>
      <c r="U1293" s="753">
        <v>6677</v>
      </c>
      <c r="V1293" s="751">
        <v>2019</v>
      </c>
      <c r="W1293" s="222"/>
      <c r="X1293" s="186" t="str">
        <f t="shared" si="71"/>
        <v/>
      </c>
      <c r="Y1293" s="86">
        <f t="shared" si="69"/>
        <v>5.3345583576226074</v>
      </c>
      <c r="Z1293" s="86" t="str">
        <f t="shared" si="70"/>
        <v/>
      </c>
      <c r="AA1293" s="44"/>
      <c r="AB1293" s="65"/>
      <c r="AC1293" s="40"/>
    </row>
    <row r="1294" spans="1:29" ht="25" hidden="1">
      <c r="A1294" s="751">
        <v>58185</v>
      </c>
      <c r="B1294" s="752" t="s">
        <v>56</v>
      </c>
      <c r="C1294" s="751" t="s">
        <v>2960</v>
      </c>
      <c r="D1294" s="752" t="s">
        <v>1314</v>
      </c>
      <c r="E1294" s="752" t="s">
        <v>1315</v>
      </c>
      <c r="F1294" s="751">
        <v>58152</v>
      </c>
      <c r="G1294" s="752" t="s">
        <v>83</v>
      </c>
      <c r="H1294" s="752" t="s">
        <v>1245</v>
      </c>
      <c r="I1294" s="752" t="s">
        <v>60</v>
      </c>
      <c r="J1294" s="751">
        <v>611</v>
      </c>
      <c r="K1294" s="751">
        <v>5</v>
      </c>
      <c r="L1294" s="752" t="s">
        <v>423</v>
      </c>
      <c r="M1294" s="752" t="s">
        <v>44</v>
      </c>
      <c r="N1294" s="752" t="s">
        <v>41</v>
      </c>
      <c r="O1294" s="752" t="s">
        <v>41</v>
      </c>
      <c r="P1294" s="752" t="s">
        <v>1091</v>
      </c>
      <c r="Q1294" s="753">
        <v>82119</v>
      </c>
      <c r="R1294" s="753">
        <v>1187</v>
      </c>
      <c r="S1294" s="753">
        <v>82119</v>
      </c>
      <c r="T1294" s="753">
        <v>1187</v>
      </c>
      <c r="U1294" s="753">
        <v>292</v>
      </c>
      <c r="V1294" s="751">
        <v>2019</v>
      </c>
      <c r="W1294" s="222"/>
      <c r="X1294" s="186" t="str">
        <f t="shared" si="71"/>
        <v/>
      </c>
      <c r="Y1294" s="86" t="str">
        <f t="shared" si="69"/>
        <v/>
      </c>
      <c r="Z1294" s="86" t="str">
        <f t="shared" si="70"/>
        <v/>
      </c>
      <c r="AA1294" s="44"/>
      <c r="AB1294" s="65"/>
      <c r="AC1294" s="40"/>
    </row>
    <row r="1295" spans="1:29" ht="25" hidden="1">
      <c r="A1295" s="751">
        <v>58185</v>
      </c>
      <c r="B1295" s="752" t="s">
        <v>56</v>
      </c>
      <c r="C1295" s="751" t="s">
        <v>2960</v>
      </c>
      <c r="D1295" s="752" t="s">
        <v>1314</v>
      </c>
      <c r="E1295" s="752" t="s">
        <v>1315</v>
      </c>
      <c r="F1295" s="751">
        <v>58152</v>
      </c>
      <c r="G1295" s="752" t="s">
        <v>83</v>
      </c>
      <c r="H1295" s="752" t="s">
        <v>1245</v>
      </c>
      <c r="I1295" s="752" t="s">
        <v>60</v>
      </c>
      <c r="J1295" s="751">
        <v>611</v>
      </c>
      <c r="K1295" s="751">
        <v>5</v>
      </c>
      <c r="L1295" s="752" t="s">
        <v>423</v>
      </c>
      <c r="M1295" s="752" t="s">
        <v>44</v>
      </c>
      <c r="N1295" s="752" t="s">
        <v>63</v>
      </c>
      <c r="O1295" s="752" t="s">
        <v>63</v>
      </c>
      <c r="P1295" s="752" t="s">
        <v>49</v>
      </c>
      <c r="Q1295" s="753">
        <v>0</v>
      </c>
      <c r="R1295" s="753">
        <v>0</v>
      </c>
      <c r="S1295" s="753">
        <v>0</v>
      </c>
      <c r="T1295" s="753">
        <v>0</v>
      </c>
      <c r="U1295" s="753">
        <v>0</v>
      </c>
      <c r="V1295" s="751">
        <v>2019</v>
      </c>
      <c r="W1295" s="222"/>
      <c r="X1295" s="186" t="str">
        <f t="shared" si="71"/>
        <v/>
      </c>
      <c r="Y1295" s="86" t="str">
        <f t="shared" si="69"/>
        <v/>
      </c>
      <c r="Z1295" s="86" t="str">
        <f t="shared" si="70"/>
        <v/>
      </c>
      <c r="AA1295" s="44"/>
      <c r="AB1295" s="65"/>
      <c r="AC1295" s="40"/>
    </row>
    <row r="1296" spans="1:29" ht="25" hidden="1">
      <c r="A1296" s="751">
        <v>58186</v>
      </c>
      <c r="B1296" s="752" t="s">
        <v>56</v>
      </c>
      <c r="C1296" s="751" t="s">
        <v>2960</v>
      </c>
      <c r="D1296" s="752" t="s">
        <v>1679</v>
      </c>
      <c r="E1296" s="752" t="s">
        <v>1680</v>
      </c>
      <c r="F1296" s="751">
        <v>58154</v>
      </c>
      <c r="G1296" s="752" t="s">
        <v>59</v>
      </c>
      <c r="H1296" s="752" t="s">
        <v>1244</v>
      </c>
      <c r="I1296" s="752" t="s">
        <v>60</v>
      </c>
      <c r="J1296" s="751">
        <v>611</v>
      </c>
      <c r="K1296" s="751">
        <v>5</v>
      </c>
      <c r="L1296" s="752" t="s">
        <v>423</v>
      </c>
      <c r="M1296" s="752" t="s">
        <v>53</v>
      </c>
      <c r="N1296" s="752" t="s">
        <v>48</v>
      </c>
      <c r="O1296" s="752" t="s">
        <v>48</v>
      </c>
      <c r="P1296" s="752" t="s">
        <v>49</v>
      </c>
      <c r="Q1296" s="753">
        <v>25</v>
      </c>
      <c r="R1296" s="753">
        <v>22</v>
      </c>
      <c r="S1296" s="753">
        <v>144</v>
      </c>
      <c r="T1296" s="753">
        <v>131</v>
      </c>
      <c r="U1296" s="753">
        <v>11.052</v>
      </c>
      <c r="V1296" s="751">
        <v>2019</v>
      </c>
      <c r="W1296" s="222"/>
      <c r="X1296" s="186" t="str">
        <f t="shared" si="71"/>
        <v/>
      </c>
      <c r="Y1296" s="86" t="str">
        <f t="shared" si="69"/>
        <v/>
      </c>
      <c r="Z1296" s="86" t="str">
        <f t="shared" si="70"/>
        <v/>
      </c>
      <c r="AA1296" s="44"/>
      <c r="AB1296" s="65"/>
      <c r="AC1296" s="40"/>
    </row>
    <row r="1297" spans="1:29" ht="25" hidden="1">
      <c r="A1297" s="751">
        <v>58186</v>
      </c>
      <c r="B1297" s="752" t="s">
        <v>56</v>
      </c>
      <c r="C1297" s="751" t="s">
        <v>2960</v>
      </c>
      <c r="D1297" s="752" t="s">
        <v>1679</v>
      </c>
      <c r="E1297" s="752" t="s">
        <v>1680</v>
      </c>
      <c r="F1297" s="751">
        <v>58154</v>
      </c>
      <c r="G1297" s="752" t="s">
        <v>59</v>
      </c>
      <c r="H1297" s="752" t="s">
        <v>1244</v>
      </c>
      <c r="I1297" s="752" t="s">
        <v>60</v>
      </c>
      <c r="J1297" s="751">
        <v>611</v>
      </c>
      <c r="K1297" s="751">
        <v>5</v>
      </c>
      <c r="L1297" s="752" t="s">
        <v>423</v>
      </c>
      <c r="M1297" s="752" t="s">
        <v>53</v>
      </c>
      <c r="N1297" s="752" t="s">
        <v>65</v>
      </c>
      <c r="O1297" s="752" t="s">
        <v>66</v>
      </c>
      <c r="P1297" s="752" t="s">
        <v>1091</v>
      </c>
      <c r="Q1297" s="753">
        <v>0</v>
      </c>
      <c r="R1297" s="753">
        <v>0</v>
      </c>
      <c r="S1297" s="753">
        <v>0</v>
      </c>
      <c r="T1297" s="753">
        <v>0</v>
      </c>
      <c r="U1297" s="753">
        <v>0</v>
      </c>
      <c r="V1297" s="751">
        <v>2019</v>
      </c>
      <c r="W1297" s="222"/>
      <c r="X1297" s="186" t="str">
        <f t="shared" si="71"/>
        <v/>
      </c>
      <c r="Y1297" s="86" t="str">
        <f t="shared" si="69"/>
        <v/>
      </c>
      <c r="Z1297" s="86" t="str">
        <f t="shared" si="70"/>
        <v/>
      </c>
      <c r="AA1297" s="44"/>
      <c r="AB1297" s="65"/>
      <c r="AC1297" s="40"/>
    </row>
    <row r="1298" spans="1:29" ht="25" hidden="1">
      <c r="A1298" s="751">
        <v>58186</v>
      </c>
      <c r="B1298" s="752" t="s">
        <v>56</v>
      </c>
      <c r="C1298" s="751" t="s">
        <v>2960</v>
      </c>
      <c r="D1298" s="752" t="s">
        <v>1679</v>
      </c>
      <c r="E1298" s="752" t="s">
        <v>1680</v>
      </c>
      <c r="F1298" s="751">
        <v>58154</v>
      </c>
      <c r="G1298" s="752" t="s">
        <v>59</v>
      </c>
      <c r="H1298" s="752" t="s">
        <v>1244</v>
      </c>
      <c r="I1298" s="752" t="s">
        <v>60</v>
      </c>
      <c r="J1298" s="751">
        <v>611</v>
      </c>
      <c r="K1298" s="751">
        <v>5</v>
      </c>
      <c r="L1298" s="752" t="s">
        <v>423</v>
      </c>
      <c r="M1298" s="752" t="s">
        <v>53</v>
      </c>
      <c r="N1298" s="752" t="s">
        <v>41</v>
      </c>
      <c r="O1298" s="752" t="s">
        <v>41</v>
      </c>
      <c r="P1298" s="752" t="s">
        <v>1091</v>
      </c>
      <c r="Q1298" s="753">
        <v>159182</v>
      </c>
      <c r="R1298" s="753">
        <v>146278</v>
      </c>
      <c r="S1298" s="753">
        <v>163957</v>
      </c>
      <c r="T1298" s="753">
        <v>150665</v>
      </c>
      <c r="U1298" s="753">
        <v>12496.948</v>
      </c>
      <c r="V1298" s="751">
        <v>2019</v>
      </c>
      <c r="W1298" s="222"/>
      <c r="X1298" s="186" t="str">
        <f t="shared" si="71"/>
        <v/>
      </c>
      <c r="Y1298" s="86" t="str">
        <f t="shared" si="69"/>
        <v/>
      </c>
      <c r="Z1298" s="86" t="str">
        <f t="shared" si="70"/>
        <v/>
      </c>
      <c r="AA1298" s="44"/>
      <c r="AB1298" s="65"/>
      <c r="AC1298" s="40"/>
    </row>
    <row r="1299" spans="1:29" ht="25" hidden="1">
      <c r="A1299" s="751">
        <v>58201</v>
      </c>
      <c r="B1299" s="752" t="s">
        <v>56</v>
      </c>
      <c r="C1299" s="751" t="s">
        <v>2960</v>
      </c>
      <c r="D1299" s="752" t="s">
        <v>1316</v>
      </c>
      <c r="E1299" s="752" t="s">
        <v>2623</v>
      </c>
      <c r="F1299" s="751">
        <v>60791</v>
      </c>
      <c r="G1299" s="752" t="s">
        <v>59</v>
      </c>
      <c r="H1299" s="752" t="s">
        <v>1244</v>
      </c>
      <c r="I1299" s="752" t="s">
        <v>60</v>
      </c>
      <c r="J1299" s="751">
        <v>611</v>
      </c>
      <c r="K1299" s="751">
        <v>5</v>
      </c>
      <c r="L1299" s="752" t="s">
        <v>423</v>
      </c>
      <c r="M1299" s="752" t="s">
        <v>53</v>
      </c>
      <c r="N1299" s="752" t="s">
        <v>41</v>
      </c>
      <c r="O1299" s="752" t="s">
        <v>41</v>
      </c>
      <c r="P1299" s="752" t="s">
        <v>1091</v>
      </c>
      <c r="Q1299" s="753">
        <v>132660</v>
      </c>
      <c r="R1299" s="753">
        <v>61460</v>
      </c>
      <c r="S1299" s="753">
        <v>145926</v>
      </c>
      <c r="T1299" s="753">
        <v>67605</v>
      </c>
      <c r="U1299" s="753">
        <v>10938</v>
      </c>
      <c r="V1299" s="751">
        <v>2019</v>
      </c>
      <c r="W1299" s="222"/>
      <c r="X1299" s="186"/>
      <c r="Y1299" s="86" t="str">
        <f t="shared" si="69"/>
        <v/>
      </c>
      <c r="Z1299" s="86" t="str">
        <f t="shared" si="70"/>
        <v/>
      </c>
      <c r="AA1299" s="44"/>
      <c r="AB1299" s="65"/>
      <c r="AC1299" s="40"/>
    </row>
    <row r="1300" spans="1:29" ht="25" hidden="1">
      <c r="A1300" s="751">
        <v>58210</v>
      </c>
      <c r="B1300" s="752" t="s">
        <v>35</v>
      </c>
      <c r="C1300" s="751" t="s">
        <v>2960</v>
      </c>
      <c r="D1300" s="752" t="s">
        <v>1317</v>
      </c>
      <c r="E1300" s="752" t="s">
        <v>1246</v>
      </c>
      <c r="F1300" s="751">
        <v>58185</v>
      </c>
      <c r="G1300" s="752" t="s">
        <v>83</v>
      </c>
      <c r="H1300" s="752" t="s">
        <v>1245</v>
      </c>
      <c r="I1300" s="752" t="s">
        <v>60</v>
      </c>
      <c r="J1300" s="751">
        <v>22</v>
      </c>
      <c r="K1300" s="751">
        <v>2</v>
      </c>
      <c r="L1300" s="752" t="s">
        <v>54</v>
      </c>
      <c r="M1300" s="752" t="s">
        <v>468</v>
      </c>
      <c r="N1300" s="752" t="s">
        <v>469</v>
      </c>
      <c r="O1300" s="752" t="s">
        <v>469</v>
      </c>
      <c r="P1300" s="752" t="s">
        <v>1238</v>
      </c>
      <c r="Q1300" s="753">
        <v>0</v>
      </c>
      <c r="R1300" s="753">
        <v>0</v>
      </c>
      <c r="S1300" s="753">
        <v>15770</v>
      </c>
      <c r="T1300" s="753">
        <v>15770</v>
      </c>
      <c r="U1300" s="753">
        <v>1771</v>
      </c>
      <c r="V1300" s="751">
        <v>2019</v>
      </c>
      <c r="W1300" s="222"/>
      <c r="X1300" s="186"/>
      <c r="Y1300" s="86" t="str">
        <f t="shared" si="69"/>
        <v/>
      </c>
      <c r="Z1300" s="86" t="str">
        <f t="shared" si="70"/>
        <v/>
      </c>
      <c r="AA1300" s="44"/>
      <c r="AB1300" s="65"/>
      <c r="AC1300" s="40"/>
    </row>
    <row r="1301" spans="1:29" ht="25" hidden="1">
      <c r="A1301" s="751">
        <v>58214</v>
      </c>
      <c r="B1301" s="752" t="s">
        <v>35</v>
      </c>
      <c r="C1301" s="751" t="s">
        <v>2960</v>
      </c>
      <c r="D1301" s="752" t="s">
        <v>1681</v>
      </c>
      <c r="E1301" s="752" t="s">
        <v>1189</v>
      </c>
      <c r="F1301" s="751">
        <v>56769</v>
      </c>
      <c r="G1301" s="752" t="s">
        <v>136</v>
      </c>
      <c r="H1301" s="752" t="s">
        <v>1245</v>
      </c>
      <c r="I1301" s="752" t="s">
        <v>60</v>
      </c>
      <c r="J1301" s="751">
        <v>22</v>
      </c>
      <c r="K1301" s="751">
        <v>2</v>
      </c>
      <c r="L1301" s="752" t="s">
        <v>54</v>
      </c>
      <c r="M1301" s="752" t="s">
        <v>468</v>
      </c>
      <c r="N1301" s="752" t="s">
        <v>469</v>
      </c>
      <c r="O1301" s="752" t="s">
        <v>469</v>
      </c>
      <c r="P1301" s="752" t="s">
        <v>1238</v>
      </c>
      <c r="Q1301" s="753">
        <v>0</v>
      </c>
      <c r="R1301" s="753">
        <v>0</v>
      </c>
      <c r="S1301" s="753">
        <v>23401</v>
      </c>
      <c r="T1301" s="753">
        <v>23401</v>
      </c>
      <c r="U1301" s="753">
        <v>2628</v>
      </c>
      <c r="V1301" s="751">
        <v>2019</v>
      </c>
      <c r="W1301" s="222"/>
      <c r="X1301" s="186">
        <f>IF(OR(K1301&gt;3,T1301=0,NOT(U1301&gt;0)),"",T1301/U1301)</f>
        <v>8.9044901065449018</v>
      </c>
      <c r="Y1301" s="86" t="str">
        <f t="shared" si="69"/>
        <v/>
      </c>
      <c r="Z1301" s="86" t="str">
        <f t="shared" si="70"/>
        <v/>
      </c>
      <c r="AA1301" s="44"/>
      <c r="AB1301" s="65"/>
      <c r="AC1301" s="40"/>
    </row>
    <row r="1302" spans="1:29" ht="25" hidden="1">
      <c r="A1302" s="751">
        <v>58224</v>
      </c>
      <c r="B1302" s="752" t="s">
        <v>56</v>
      </c>
      <c r="C1302" s="751" t="s">
        <v>2960</v>
      </c>
      <c r="D1302" s="752" t="s">
        <v>1318</v>
      </c>
      <c r="E1302" s="752" t="s">
        <v>1319</v>
      </c>
      <c r="F1302" s="751">
        <v>58188</v>
      </c>
      <c r="G1302" s="752" t="s">
        <v>43</v>
      </c>
      <c r="H1302" s="752" t="s">
        <v>1245</v>
      </c>
      <c r="I1302" s="752" t="s">
        <v>60</v>
      </c>
      <c r="J1302" s="751">
        <v>611</v>
      </c>
      <c r="K1302" s="751">
        <v>5</v>
      </c>
      <c r="L1302" s="752" t="s">
        <v>423</v>
      </c>
      <c r="M1302" s="752" t="s">
        <v>53</v>
      </c>
      <c r="N1302" s="752" t="s">
        <v>48</v>
      </c>
      <c r="O1302" s="752" t="s">
        <v>48</v>
      </c>
      <c r="P1302" s="752" t="s">
        <v>49</v>
      </c>
      <c r="Q1302" s="753">
        <v>0</v>
      </c>
      <c r="R1302" s="753">
        <v>0</v>
      </c>
      <c r="S1302" s="753">
        <v>0</v>
      </c>
      <c r="T1302" s="753">
        <v>0</v>
      </c>
      <c r="U1302" s="753">
        <v>0</v>
      </c>
      <c r="V1302" s="751">
        <v>2019</v>
      </c>
      <c r="W1302" s="222"/>
      <c r="X1302" s="186" t="str">
        <f>IF(OR(K1302&gt;3,T1302=0,NOT(U1302&gt;0)),"",T1302/U1302)</f>
        <v/>
      </c>
      <c r="Y1302" s="86" t="str">
        <f t="shared" si="69"/>
        <v/>
      </c>
      <c r="Z1302" s="86" t="str">
        <f t="shared" si="70"/>
        <v/>
      </c>
      <c r="AA1302" s="44"/>
      <c r="AB1302" s="65"/>
      <c r="AC1302" s="40"/>
    </row>
    <row r="1303" spans="1:29" ht="25" hidden="1">
      <c r="A1303" s="751">
        <v>58224</v>
      </c>
      <c r="B1303" s="752" t="s">
        <v>56</v>
      </c>
      <c r="C1303" s="751" t="s">
        <v>2960</v>
      </c>
      <c r="D1303" s="752" t="s">
        <v>1318</v>
      </c>
      <c r="E1303" s="752" t="s">
        <v>1319</v>
      </c>
      <c r="F1303" s="751">
        <v>58188</v>
      </c>
      <c r="G1303" s="752" t="s">
        <v>43</v>
      </c>
      <c r="H1303" s="752" t="s">
        <v>1245</v>
      </c>
      <c r="I1303" s="752" t="s">
        <v>60</v>
      </c>
      <c r="J1303" s="751">
        <v>611</v>
      </c>
      <c r="K1303" s="751">
        <v>5</v>
      </c>
      <c r="L1303" s="752" t="s">
        <v>423</v>
      </c>
      <c r="M1303" s="752" t="s">
        <v>53</v>
      </c>
      <c r="N1303" s="752" t="s">
        <v>41</v>
      </c>
      <c r="O1303" s="752" t="s">
        <v>41</v>
      </c>
      <c r="P1303" s="752" t="s">
        <v>1091</v>
      </c>
      <c r="Q1303" s="753">
        <v>91172</v>
      </c>
      <c r="R1303" s="753">
        <v>30492</v>
      </c>
      <c r="S1303" s="753">
        <v>100290</v>
      </c>
      <c r="T1303" s="753">
        <v>33540</v>
      </c>
      <c r="U1303" s="753">
        <v>8650</v>
      </c>
      <c r="V1303" s="751">
        <v>2019</v>
      </c>
      <c r="W1303" s="222"/>
      <c r="X1303" s="186" t="str">
        <f>IF(OR(K1303&gt;3,T1303=0,NOT(U1303&gt;0)),"",T1303/U1303)</f>
        <v/>
      </c>
      <c r="Y1303" s="86" t="str">
        <f t="shared" si="69"/>
        <v/>
      </c>
      <c r="Z1303" s="86" t="str">
        <f t="shared" si="70"/>
        <v/>
      </c>
      <c r="AA1303" s="44"/>
      <c r="AB1303" s="65"/>
      <c r="AC1303" s="40"/>
    </row>
    <row r="1304" spans="1:29" ht="25" hidden="1">
      <c r="A1304" s="751">
        <v>58237</v>
      </c>
      <c r="B1304" s="752" t="s">
        <v>56</v>
      </c>
      <c r="C1304" s="751" t="s">
        <v>2960</v>
      </c>
      <c r="D1304" s="752" t="s">
        <v>1320</v>
      </c>
      <c r="E1304" s="752" t="s">
        <v>1321</v>
      </c>
      <c r="F1304" s="751">
        <v>58213</v>
      </c>
      <c r="G1304" s="752" t="s">
        <v>43</v>
      </c>
      <c r="H1304" s="752" t="s">
        <v>1245</v>
      </c>
      <c r="I1304" s="752" t="s">
        <v>60</v>
      </c>
      <c r="J1304" s="751">
        <v>611</v>
      </c>
      <c r="K1304" s="751">
        <v>5</v>
      </c>
      <c r="L1304" s="752" t="s">
        <v>423</v>
      </c>
      <c r="M1304" s="752" t="s">
        <v>1322</v>
      </c>
      <c r="N1304" s="752" t="s">
        <v>41</v>
      </c>
      <c r="O1304" s="752" t="s">
        <v>41</v>
      </c>
      <c r="P1304" s="752" t="s">
        <v>1091</v>
      </c>
      <c r="Q1304" s="753">
        <v>97352</v>
      </c>
      <c r="R1304" s="753">
        <v>76390</v>
      </c>
      <c r="S1304" s="753">
        <v>100079</v>
      </c>
      <c r="T1304" s="753">
        <v>78529</v>
      </c>
      <c r="U1304" s="753">
        <v>11244</v>
      </c>
      <c r="V1304" s="751">
        <v>2019</v>
      </c>
      <c r="W1304" s="222"/>
      <c r="X1304" s="186"/>
      <c r="Y1304" s="86" t="str">
        <f t="shared" si="69"/>
        <v/>
      </c>
      <c r="Z1304" s="86" t="str">
        <f t="shared" si="70"/>
        <v/>
      </c>
      <c r="AA1304" s="44"/>
      <c r="AB1304" s="65"/>
      <c r="AC1304" s="40"/>
    </row>
    <row r="1305" spans="1:29" ht="25" hidden="1">
      <c r="A1305" s="751">
        <v>58238</v>
      </c>
      <c r="B1305" s="752" t="s">
        <v>35</v>
      </c>
      <c r="C1305" s="751" t="s">
        <v>2960</v>
      </c>
      <c r="D1305" s="752" t="s">
        <v>1323</v>
      </c>
      <c r="E1305" s="752" t="s">
        <v>2470</v>
      </c>
      <c r="F1305" s="751">
        <v>60025</v>
      </c>
      <c r="G1305" s="752" t="s">
        <v>91</v>
      </c>
      <c r="H1305" s="752" t="s">
        <v>1245</v>
      </c>
      <c r="I1305" s="752" t="s">
        <v>60</v>
      </c>
      <c r="J1305" s="751">
        <v>22</v>
      </c>
      <c r="K1305" s="751">
        <v>2</v>
      </c>
      <c r="L1305" s="752" t="s">
        <v>54</v>
      </c>
      <c r="M1305" s="752" t="s">
        <v>73</v>
      </c>
      <c r="N1305" s="752" t="s">
        <v>74</v>
      </c>
      <c r="O1305" s="752" t="s">
        <v>74</v>
      </c>
      <c r="P1305" s="752" t="s">
        <v>1238</v>
      </c>
      <c r="Q1305" s="753">
        <v>0</v>
      </c>
      <c r="R1305" s="753">
        <v>0</v>
      </c>
      <c r="S1305" s="753">
        <v>257308</v>
      </c>
      <c r="T1305" s="753">
        <v>257308</v>
      </c>
      <c r="U1305" s="753">
        <v>28898</v>
      </c>
      <c r="V1305" s="751">
        <v>2019</v>
      </c>
      <c r="W1305" s="222"/>
      <c r="X1305" s="186"/>
      <c r="Y1305" s="178" t="str">
        <f t="shared" si="69"/>
        <v/>
      </c>
      <c r="Z1305" s="178" t="str">
        <f t="shared" si="70"/>
        <v/>
      </c>
      <c r="AA1305" s="44"/>
      <c r="AB1305" s="65"/>
      <c r="AC1305" s="40"/>
    </row>
    <row r="1306" spans="1:29" hidden="1">
      <c r="A1306" s="751">
        <v>58270</v>
      </c>
      <c r="B1306" s="752" t="s">
        <v>35</v>
      </c>
      <c r="C1306" s="751" t="s">
        <v>2960</v>
      </c>
      <c r="D1306" s="752" t="s">
        <v>1324</v>
      </c>
      <c r="E1306" s="752" t="s">
        <v>2038</v>
      </c>
      <c r="F1306" s="751">
        <v>59622</v>
      </c>
      <c r="G1306" s="752" t="s">
        <v>83</v>
      </c>
      <c r="H1306" s="752" t="s">
        <v>1245</v>
      </c>
      <c r="I1306" s="752" t="s">
        <v>60</v>
      </c>
      <c r="J1306" s="751">
        <v>22</v>
      </c>
      <c r="K1306" s="751">
        <v>2</v>
      </c>
      <c r="L1306" s="752" t="s">
        <v>54</v>
      </c>
      <c r="M1306" s="752" t="s">
        <v>468</v>
      </c>
      <c r="N1306" s="752" t="s">
        <v>469</v>
      </c>
      <c r="O1306" s="752" t="s">
        <v>469</v>
      </c>
      <c r="P1306" s="752" t="s">
        <v>1238</v>
      </c>
      <c r="Q1306" s="753">
        <v>0</v>
      </c>
      <c r="R1306" s="753">
        <v>0</v>
      </c>
      <c r="S1306" s="753">
        <v>48062</v>
      </c>
      <c r="T1306" s="753">
        <v>48062</v>
      </c>
      <c r="U1306" s="753">
        <v>5398</v>
      </c>
      <c r="V1306" s="751">
        <v>2019</v>
      </c>
      <c r="W1306" s="222"/>
      <c r="X1306" s="186"/>
      <c r="Y1306" s="86" t="str">
        <f t="shared" si="69"/>
        <v/>
      </c>
      <c r="Z1306" s="86" t="str">
        <f t="shared" si="70"/>
        <v/>
      </c>
      <c r="AA1306" s="44"/>
      <c r="AB1306" s="65"/>
      <c r="AC1306" s="40"/>
    </row>
    <row r="1307" spans="1:29" hidden="1">
      <c r="A1307" s="751">
        <v>58271</v>
      </c>
      <c r="B1307" s="752" t="s">
        <v>35</v>
      </c>
      <c r="C1307" s="751" t="s">
        <v>2960</v>
      </c>
      <c r="D1307" s="752" t="s">
        <v>1325</v>
      </c>
      <c r="E1307" s="752" t="s">
        <v>2038</v>
      </c>
      <c r="F1307" s="751">
        <v>59622</v>
      </c>
      <c r="G1307" s="752" t="s">
        <v>83</v>
      </c>
      <c r="H1307" s="752" t="s">
        <v>1245</v>
      </c>
      <c r="I1307" s="752" t="s">
        <v>60</v>
      </c>
      <c r="J1307" s="751">
        <v>22</v>
      </c>
      <c r="K1307" s="751">
        <v>2</v>
      </c>
      <c r="L1307" s="752" t="s">
        <v>54</v>
      </c>
      <c r="M1307" s="752" t="s">
        <v>468</v>
      </c>
      <c r="N1307" s="752" t="s">
        <v>469</v>
      </c>
      <c r="O1307" s="752" t="s">
        <v>469</v>
      </c>
      <c r="P1307" s="752" t="s">
        <v>1238</v>
      </c>
      <c r="Q1307" s="753">
        <v>0</v>
      </c>
      <c r="R1307" s="753">
        <v>0</v>
      </c>
      <c r="S1307" s="753">
        <v>15403</v>
      </c>
      <c r="T1307" s="753">
        <v>15403</v>
      </c>
      <c r="U1307" s="753">
        <v>1730</v>
      </c>
      <c r="V1307" s="751">
        <v>2019</v>
      </c>
      <c r="W1307" s="222"/>
      <c r="X1307" s="186"/>
      <c r="Y1307" s="86" t="str">
        <f t="shared" si="69"/>
        <v/>
      </c>
      <c r="Z1307" s="86" t="str">
        <f t="shared" si="70"/>
        <v/>
      </c>
      <c r="AA1307" s="44"/>
      <c r="AB1307" s="65"/>
      <c r="AC1307" s="40"/>
    </row>
    <row r="1308" spans="1:29" ht="25" hidden="1">
      <c r="A1308" s="751">
        <v>58272</v>
      </c>
      <c r="B1308" s="752" t="s">
        <v>35</v>
      </c>
      <c r="C1308" s="751" t="s">
        <v>2960</v>
      </c>
      <c r="D1308" s="752" t="s">
        <v>1326</v>
      </c>
      <c r="E1308" s="752" t="s">
        <v>2038</v>
      </c>
      <c r="F1308" s="751">
        <v>59622</v>
      </c>
      <c r="G1308" s="752" t="s">
        <v>83</v>
      </c>
      <c r="H1308" s="752" t="s">
        <v>1245</v>
      </c>
      <c r="I1308" s="752" t="s">
        <v>60</v>
      </c>
      <c r="J1308" s="751">
        <v>22</v>
      </c>
      <c r="K1308" s="751">
        <v>2</v>
      </c>
      <c r="L1308" s="752" t="s">
        <v>54</v>
      </c>
      <c r="M1308" s="752" t="s">
        <v>468</v>
      </c>
      <c r="N1308" s="752" t="s">
        <v>469</v>
      </c>
      <c r="O1308" s="752" t="s">
        <v>469</v>
      </c>
      <c r="P1308" s="752" t="s">
        <v>1238</v>
      </c>
      <c r="Q1308" s="753">
        <v>0</v>
      </c>
      <c r="R1308" s="753">
        <v>0</v>
      </c>
      <c r="S1308" s="753">
        <v>23562</v>
      </c>
      <c r="T1308" s="753">
        <v>23562</v>
      </c>
      <c r="U1308" s="753">
        <v>2646</v>
      </c>
      <c r="V1308" s="751">
        <v>2019</v>
      </c>
      <c r="W1308" s="222"/>
      <c r="X1308" s="186"/>
      <c r="Y1308" s="86" t="str">
        <f t="shared" si="69"/>
        <v/>
      </c>
      <c r="Z1308" s="86" t="str">
        <f t="shared" si="70"/>
        <v/>
      </c>
      <c r="AA1308" s="44"/>
      <c r="AB1308" s="65"/>
      <c r="AC1308" s="40"/>
    </row>
    <row r="1309" spans="1:29" hidden="1">
      <c r="A1309" s="751">
        <v>58275</v>
      </c>
      <c r="B1309" s="752" t="s">
        <v>35</v>
      </c>
      <c r="C1309" s="751" t="s">
        <v>2960</v>
      </c>
      <c r="D1309" s="752" t="s">
        <v>1779</v>
      </c>
      <c r="E1309" s="752" t="s">
        <v>1671</v>
      </c>
      <c r="F1309" s="751">
        <v>59155</v>
      </c>
      <c r="G1309" s="752" t="s">
        <v>83</v>
      </c>
      <c r="H1309" s="752" t="s">
        <v>1245</v>
      </c>
      <c r="I1309" s="752" t="s">
        <v>60</v>
      </c>
      <c r="J1309" s="751">
        <v>22</v>
      </c>
      <c r="K1309" s="751">
        <v>2</v>
      </c>
      <c r="L1309" s="752" t="s">
        <v>54</v>
      </c>
      <c r="M1309" s="752" t="s">
        <v>468</v>
      </c>
      <c r="N1309" s="752" t="s">
        <v>469</v>
      </c>
      <c r="O1309" s="752" t="s">
        <v>469</v>
      </c>
      <c r="P1309" s="752" t="s">
        <v>1238</v>
      </c>
      <c r="Q1309" s="753">
        <v>0</v>
      </c>
      <c r="R1309" s="753">
        <v>0</v>
      </c>
      <c r="S1309" s="753">
        <v>55338</v>
      </c>
      <c r="T1309" s="753">
        <v>55338</v>
      </c>
      <c r="U1309" s="753">
        <v>6215</v>
      </c>
      <c r="V1309" s="751">
        <v>2019</v>
      </c>
      <c r="W1309" s="222"/>
      <c r="X1309" s="186"/>
      <c r="Y1309" s="86" t="str">
        <f t="shared" si="69"/>
        <v/>
      </c>
      <c r="Z1309" s="86" t="str">
        <f t="shared" si="70"/>
        <v/>
      </c>
      <c r="AA1309" s="44"/>
      <c r="AB1309" s="65"/>
      <c r="AC1309" s="40"/>
    </row>
    <row r="1310" spans="1:29" hidden="1">
      <c r="A1310" s="751">
        <v>58276</v>
      </c>
      <c r="B1310" s="752" t="s">
        <v>35</v>
      </c>
      <c r="C1310" s="751" t="s">
        <v>2960</v>
      </c>
      <c r="D1310" s="752" t="s">
        <v>1780</v>
      </c>
      <c r="E1310" s="752" t="s">
        <v>1671</v>
      </c>
      <c r="F1310" s="751">
        <v>59155</v>
      </c>
      <c r="G1310" s="752" t="s">
        <v>83</v>
      </c>
      <c r="H1310" s="752" t="s">
        <v>1245</v>
      </c>
      <c r="I1310" s="752" t="s">
        <v>60</v>
      </c>
      <c r="J1310" s="751">
        <v>22</v>
      </c>
      <c r="K1310" s="751">
        <v>2</v>
      </c>
      <c r="L1310" s="752" t="s">
        <v>54</v>
      </c>
      <c r="M1310" s="752" t="s">
        <v>468</v>
      </c>
      <c r="N1310" s="752" t="s">
        <v>469</v>
      </c>
      <c r="O1310" s="752" t="s">
        <v>469</v>
      </c>
      <c r="P1310" s="752" t="s">
        <v>1238</v>
      </c>
      <c r="Q1310" s="753">
        <v>0</v>
      </c>
      <c r="R1310" s="753">
        <v>0</v>
      </c>
      <c r="S1310" s="753">
        <v>61402</v>
      </c>
      <c r="T1310" s="753">
        <v>61402</v>
      </c>
      <c r="U1310" s="753">
        <v>6896</v>
      </c>
      <c r="V1310" s="751">
        <v>2019</v>
      </c>
      <c r="W1310" s="222"/>
      <c r="X1310" s="186"/>
      <c r="Y1310" s="86" t="str">
        <f t="shared" si="69"/>
        <v/>
      </c>
      <c r="Z1310" s="86" t="str">
        <f t="shared" si="70"/>
        <v/>
      </c>
      <c r="AA1310" s="44"/>
      <c r="AB1310" s="65"/>
      <c r="AC1310" s="40"/>
    </row>
    <row r="1311" spans="1:29" hidden="1">
      <c r="A1311" s="751">
        <v>58279</v>
      </c>
      <c r="B1311" s="752" t="s">
        <v>35</v>
      </c>
      <c r="C1311" s="751" t="s">
        <v>2960</v>
      </c>
      <c r="D1311" s="752" t="s">
        <v>1781</v>
      </c>
      <c r="E1311" s="752" t="s">
        <v>1671</v>
      </c>
      <c r="F1311" s="751">
        <v>59155</v>
      </c>
      <c r="G1311" s="752" t="s">
        <v>83</v>
      </c>
      <c r="H1311" s="752" t="s">
        <v>1245</v>
      </c>
      <c r="I1311" s="752" t="s">
        <v>60</v>
      </c>
      <c r="J1311" s="751">
        <v>22</v>
      </c>
      <c r="K1311" s="751">
        <v>2</v>
      </c>
      <c r="L1311" s="752" t="s">
        <v>54</v>
      </c>
      <c r="M1311" s="752" t="s">
        <v>468</v>
      </c>
      <c r="N1311" s="752" t="s">
        <v>469</v>
      </c>
      <c r="O1311" s="752" t="s">
        <v>469</v>
      </c>
      <c r="P1311" s="752" t="s">
        <v>1238</v>
      </c>
      <c r="Q1311" s="753">
        <v>0</v>
      </c>
      <c r="R1311" s="753">
        <v>0</v>
      </c>
      <c r="S1311" s="753">
        <v>65301</v>
      </c>
      <c r="T1311" s="753">
        <v>65301</v>
      </c>
      <c r="U1311" s="753">
        <v>7334</v>
      </c>
      <c r="V1311" s="751">
        <v>2019</v>
      </c>
      <c r="W1311" s="222"/>
      <c r="X1311" s="186"/>
      <c r="Y1311" s="86" t="str">
        <f t="shared" si="69"/>
        <v/>
      </c>
      <c r="Z1311" s="86" t="str">
        <f t="shared" si="70"/>
        <v/>
      </c>
      <c r="AA1311" s="44"/>
      <c r="AB1311" s="65"/>
      <c r="AC1311" s="40"/>
    </row>
    <row r="1312" spans="1:29" hidden="1">
      <c r="A1312" s="751">
        <v>58280</v>
      </c>
      <c r="B1312" s="752" t="s">
        <v>35</v>
      </c>
      <c r="C1312" s="751" t="s">
        <v>2960</v>
      </c>
      <c r="D1312" s="752" t="s">
        <v>1782</v>
      </c>
      <c r="E1312" s="752" t="s">
        <v>1671</v>
      </c>
      <c r="F1312" s="751">
        <v>59155</v>
      </c>
      <c r="G1312" s="752" t="s">
        <v>83</v>
      </c>
      <c r="H1312" s="752" t="s">
        <v>1245</v>
      </c>
      <c r="I1312" s="752" t="s">
        <v>60</v>
      </c>
      <c r="J1312" s="751">
        <v>22</v>
      </c>
      <c r="K1312" s="751">
        <v>2</v>
      </c>
      <c r="L1312" s="752" t="s">
        <v>54</v>
      </c>
      <c r="M1312" s="752" t="s">
        <v>468</v>
      </c>
      <c r="N1312" s="752" t="s">
        <v>469</v>
      </c>
      <c r="O1312" s="752" t="s">
        <v>469</v>
      </c>
      <c r="P1312" s="752" t="s">
        <v>1238</v>
      </c>
      <c r="Q1312" s="753">
        <v>0</v>
      </c>
      <c r="R1312" s="753">
        <v>0</v>
      </c>
      <c r="S1312" s="753">
        <v>43397</v>
      </c>
      <c r="T1312" s="753">
        <v>43397</v>
      </c>
      <c r="U1312" s="753">
        <v>4874</v>
      </c>
      <c r="V1312" s="751">
        <v>2019</v>
      </c>
      <c r="W1312" s="222"/>
      <c r="X1312" s="186"/>
      <c r="Y1312" s="86" t="str">
        <f t="shared" si="69"/>
        <v/>
      </c>
      <c r="Z1312" s="86" t="str">
        <f t="shared" si="70"/>
        <v/>
      </c>
      <c r="AA1312" s="44"/>
      <c r="AB1312" s="65"/>
      <c r="AC1312" s="40"/>
    </row>
    <row r="1313" spans="1:29" hidden="1">
      <c r="A1313" s="751">
        <v>58282</v>
      </c>
      <c r="B1313" s="752" t="s">
        <v>35</v>
      </c>
      <c r="C1313" s="751" t="s">
        <v>2960</v>
      </c>
      <c r="D1313" s="752" t="s">
        <v>1950</v>
      </c>
      <c r="E1313" s="752" t="s">
        <v>2469</v>
      </c>
      <c r="F1313" s="751">
        <v>62060</v>
      </c>
      <c r="G1313" s="752" t="s">
        <v>83</v>
      </c>
      <c r="H1313" s="752" t="s">
        <v>1245</v>
      </c>
      <c r="I1313" s="752" t="s">
        <v>60</v>
      </c>
      <c r="J1313" s="751">
        <v>22</v>
      </c>
      <c r="K1313" s="751">
        <v>2</v>
      </c>
      <c r="L1313" s="752" t="s">
        <v>54</v>
      </c>
      <c r="M1313" s="752" t="s">
        <v>468</v>
      </c>
      <c r="N1313" s="752" t="s">
        <v>469</v>
      </c>
      <c r="O1313" s="752" t="s">
        <v>469</v>
      </c>
      <c r="P1313" s="752" t="s">
        <v>1238</v>
      </c>
      <c r="Q1313" s="753">
        <v>0</v>
      </c>
      <c r="R1313" s="753">
        <v>0</v>
      </c>
      <c r="S1313" s="753">
        <v>56825</v>
      </c>
      <c r="T1313" s="753">
        <v>56825</v>
      </c>
      <c r="U1313" s="753">
        <v>6382</v>
      </c>
      <c r="V1313" s="751">
        <v>2019</v>
      </c>
      <c r="W1313" s="222"/>
      <c r="X1313" s="186"/>
      <c r="Y1313" s="86" t="str">
        <f t="shared" si="69"/>
        <v/>
      </c>
      <c r="Z1313" s="86" t="str">
        <f t="shared" si="70"/>
        <v/>
      </c>
      <c r="AA1313" s="44"/>
      <c r="AB1313" s="65"/>
      <c r="AC1313" s="40"/>
    </row>
    <row r="1314" spans="1:29" hidden="1">
      <c r="A1314" s="751">
        <v>58283</v>
      </c>
      <c r="B1314" s="752" t="s">
        <v>35</v>
      </c>
      <c r="C1314" s="751" t="s">
        <v>2960</v>
      </c>
      <c r="D1314" s="752" t="s">
        <v>1951</v>
      </c>
      <c r="E1314" s="752" t="s">
        <v>1791</v>
      </c>
      <c r="F1314" s="751">
        <v>58598</v>
      </c>
      <c r="G1314" s="752" t="s">
        <v>83</v>
      </c>
      <c r="H1314" s="752" t="s">
        <v>1245</v>
      </c>
      <c r="I1314" s="752" t="s">
        <v>60</v>
      </c>
      <c r="J1314" s="751">
        <v>22</v>
      </c>
      <c r="K1314" s="751">
        <v>2</v>
      </c>
      <c r="L1314" s="752" t="s">
        <v>54</v>
      </c>
      <c r="M1314" s="752" t="s">
        <v>468</v>
      </c>
      <c r="N1314" s="752" t="s">
        <v>469</v>
      </c>
      <c r="O1314" s="752" t="s">
        <v>469</v>
      </c>
      <c r="P1314" s="752" t="s">
        <v>1238</v>
      </c>
      <c r="Q1314" s="753">
        <v>0</v>
      </c>
      <c r="R1314" s="753">
        <v>0</v>
      </c>
      <c r="S1314" s="753">
        <v>64663</v>
      </c>
      <c r="T1314" s="753">
        <v>64663</v>
      </c>
      <c r="U1314" s="753">
        <v>7262</v>
      </c>
      <c r="V1314" s="751">
        <v>2019</v>
      </c>
      <c r="W1314" s="222"/>
      <c r="X1314" s="186"/>
      <c r="Y1314" s="86" t="str">
        <f t="shared" si="69"/>
        <v/>
      </c>
      <c r="Z1314" s="86" t="str">
        <f t="shared" si="70"/>
        <v/>
      </c>
      <c r="AA1314" s="44"/>
      <c r="AB1314" s="65"/>
      <c r="AC1314" s="40"/>
    </row>
    <row r="1315" spans="1:29" hidden="1">
      <c r="A1315" s="751">
        <v>58295</v>
      </c>
      <c r="B1315" s="752" t="s">
        <v>35</v>
      </c>
      <c r="C1315" s="751" t="s">
        <v>2960</v>
      </c>
      <c r="D1315" s="752" t="s">
        <v>1327</v>
      </c>
      <c r="E1315" s="752" t="s">
        <v>1069</v>
      </c>
      <c r="F1315" s="751">
        <v>50158</v>
      </c>
      <c r="G1315" s="752" t="s">
        <v>59</v>
      </c>
      <c r="H1315" s="752" t="s">
        <v>1244</v>
      </c>
      <c r="I1315" s="752" t="s">
        <v>60</v>
      </c>
      <c r="J1315" s="751">
        <v>22</v>
      </c>
      <c r="K1315" s="751">
        <v>2</v>
      </c>
      <c r="L1315" s="752" t="s">
        <v>54</v>
      </c>
      <c r="M1315" s="752" t="s">
        <v>53</v>
      </c>
      <c r="N1315" s="752" t="s">
        <v>65</v>
      </c>
      <c r="O1315" s="752" t="s">
        <v>66</v>
      </c>
      <c r="P1315" s="752" t="s">
        <v>1091</v>
      </c>
      <c r="Q1315" s="753">
        <v>74146</v>
      </c>
      <c r="R1315" s="753">
        <v>74146</v>
      </c>
      <c r="S1315" s="753">
        <v>39445</v>
      </c>
      <c r="T1315" s="753">
        <v>39445</v>
      </c>
      <c r="U1315" s="753">
        <v>3807</v>
      </c>
      <c r="V1315" s="751">
        <v>2019</v>
      </c>
      <c r="W1315" s="222"/>
      <c r="X1315" s="186"/>
      <c r="Y1315" s="86" t="str">
        <f t="shared" si="69"/>
        <v/>
      </c>
      <c r="Z1315" s="86" t="str">
        <f t="shared" si="70"/>
        <v/>
      </c>
      <c r="AA1315" s="44"/>
      <c r="AB1315" s="65"/>
      <c r="AC1315" s="40"/>
    </row>
    <row r="1316" spans="1:29" ht="25" hidden="1">
      <c r="A1316" s="751">
        <v>58327</v>
      </c>
      <c r="B1316" s="752" t="s">
        <v>56</v>
      </c>
      <c r="C1316" s="751" t="s">
        <v>2960</v>
      </c>
      <c r="D1316" s="752" t="s">
        <v>1328</v>
      </c>
      <c r="E1316" s="752" t="s">
        <v>1329</v>
      </c>
      <c r="F1316" s="751">
        <v>58300</v>
      </c>
      <c r="G1316" s="752" t="s">
        <v>43</v>
      </c>
      <c r="H1316" s="752" t="s">
        <v>1245</v>
      </c>
      <c r="I1316" s="752" t="s">
        <v>60</v>
      </c>
      <c r="J1316" s="751">
        <v>481</v>
      </c>
      <c r="K1316" s="751">
        <v>5</v>
      </c>
      <c r="L1316" s="752" t="s">
        <v>423</v>
      </c>
      <c r="M1316" s="752" t="s">
        <v>53</v>
      </c>
      <c r="N1316" s="752" t="s">
        <v>41</v>
      </c>
      <c r="O1316" s="752" t="s">
        <v>41</v>
      </c>
      <c r="P1316" s="752" t="s">
        <v>1091</v>
      </c>
      <c r="Q1316" s="753">
        <v>221864</v>
      </c>
      <c r="R1316" s="753">
        <v>108374</v>
      </c>
      <c r="S1316" s="753">
        <v>228521</v>
      </c>
      <c r="T1316" s="753">
        <v>111624</v>
      </c>
      <c r="U1316" s="753">
        <v>15274</v>
      </c>
      <c r="V1316" s="751">
        <v>2019</v>
      </c>
      <c r="W1316" s="222"/>
      <c r="X1316" s="186"/>
      <c r="Y1316" s="86" t="str">
        <f t="shared" si="69"/>
        <v/>
      </c>
      <c r="Z1316" s="86" t="str">
        <f t="shared" si="70"/>
        <v/>
      </c>
      <c r="AA1316" s="44"/>
      <c r="AB1316" s="65"/>
      <c r="AC1316" s="40"/>
    </row>
    <row r="1317" spans="1:29" hidden="1">
      <c r="A1317" s="751">
        <v>58362</v>
      </c>
      <c r="B1317" s="752" t="s">
        <v>35</v>
      </c>
      <c r="C1317" s="751" t="s">
        <v>2960</v>
      </c>
      <c r="D1317" s="752" t="s">
        <v>1682</v>
      </c>
      <c r="E1317" s="752" t="s">
        <v>1285</v>
      </c>
      <c r="F1317" s="751">
        <v>57365</v>
      </c>
      <c r="G1317" s="752" t="s">
        <v>83</v>
      </c>
      <c r="H1317" s="752" t="s">
        <v>1245</v>
      </c>
      <c r="I1317" s="752" t="s">
        <v>60</v>
      </c>
      <c r="J1317" s="751">
        <v>22</v>
      </c>
      <c r="K1317" s="751">
        <v>2</v>
      </c>
      <c r="L1317" s="752" t="s">
        <v>54</v>
      </c>
      <c r="M1317" s="752" t="s">
        <v>468</v>
      </c>
      <c r="N1317" s="752" t="s">
        <v>469</v>
      </c>
      <c r="O1317" s="752" t="s">
        <v>469</v>
      </c>
      <c r="P1317" s="752" t="s">
        <v>1238</v>
      </c>
      <c r="Q1317" s="753">
        <v>0</v>
      </c>
      <c r="R1317" s="753">
        <v>0</v>
      </c>
      <c r="S1317" s="753">
        <v>50218</v>
      </c>
      <c r="T1317" s="753">
        <v>50218</v>
      </c>
      <c r="U1317" s="753">
        <v>5640</v>
      </c>
      <c r="V1317" s="751">
        <v>2019</v>
      </c>
      <c r="W1317" s="222"/>
      <c r="X1317" s="186"/>
      <c r="Y1317" s="86" t="str">
        <f t="shared" si="69"/>
        <v/>
      </c>
      <c r="Z1317" s="86" t="str">
        <f t="shared" si="70"/>
        <v/>
      </c>
      <c r="AA1317" s="44"/>
      <c r="AB1317" s="65"/>
      <c r="AC1317" s="40"/>
    </row>
    <row r="1318" spans="1:29" ht="25" hidden="1">
      <c r="A1318" s="751">
        <v>58385</v>
      </c>
      <c r="B1318" s="752" t="s">
        <v>35</v>
      </c>
      <c r="C1318" s="751" t="s">
        <v>2960</v>
      </c>
      <c r="D1318" s="752" t="s">
        <v>1683</v>
      </c>
      <c r="E1318" s="752" t="s">
        <v>1189</v>
      </c>
      <c r="F1318" s="751">
        <v>56769</v>
      </c>
      <c r="G1318" s="752" t="s">
        <v>83</v>
      </c>
      <c r="H1318" s="752" t="s">
        <v>1245</v>
      </c>
      <c r="I1318" s="752" t="s">
        <v>60</v>
      </c>
      <c r="J1318" s="751">
        <v>22</v>
      </c>
      <c r="K1318" s="751">
        <v>2</v>
      </c>
      <c r="L1318" s="752" t="s">
        <v>54</v>
      </c>
      <c r="M1318" s="752" t="s">
        <v>468</v>
      </c>
      <c r="N1318" s="752" t="s">
        <v>469</v>
      </c>
      <c r="O1318" s="752" t="s">
        <v>469</v>
      </c>
      <c r="P1318" s="752" t="s">
        <v>1238</v>
      </c>
      <c r="Q1318" s="753">
        <v>0</v>
      </c>
      <c r="R1318" s="753">
        <v>0</v>
      </c>
      <c r="S1318" s="753">
        <v>29454</v>
      </c>
      <c r="T1318" s="753">
        <v>29454</v>
      </c>
      <c r="U1318" s="753">
        <v>3308</v>
      </c>
      <c r="V1318" s="751">
        <v>2019</v>
      </c>
      <c r="W1318" s="222"/>
      <c r="X1318" s="186"/>
      <c r="Y1318" s="86" t="str">
        <f t="shared" si="69"/>
        <v/>
      </c>
      <c r="Z1318" s="86" t="str">
        <f t="shared" si="70"/>
        <v/>
      </c>
      <c r="AA1318" s="44"/>
      <c r="AB1318" s="65"/>
      <c r="AC1318" s="40"/>
    </row>
    <row r="1319" spans="1:29" hidden="1">
      <c r="A1319" s="751">
        <v>58387</v>
      </c>
      <c r="B1319" s="752" t="s">
        <v>35</v>
      </c>
      <c r="C1319" s="751" t="s">
        <v>2960</v>
      </c>
      <c r="D1319" s="752" t="s">
        <v>1783</v>
      </c>
      <c r="E1319" s="752" t="s">
        <v>2039</v>
      </c>
      <c r="F1319" s="751">
        <v>59139</v>
      </c>
      <c r="G1319" s="752" t="s">
        <v>83</v>
      </c>
      <c r="H1319" s="752" t="s">
        <v>1245</v>
      </c>
      <c r="I1319" s="752" t="s">
        <v>60</v>
      </c>
      <c r="J1319" s="751">
        <v>22</v>
      </c>
      <c r="K1319" s="751">
        <v>2</v>
      </c>
      <c r="L1319" s="752" t="s">
        <v>54</v>
      </c>
      <c r="M1319" s="752" t="s">
        <v>468</v>
      </c>
      <c r="N1319" s="752" t="s">
        <v>469</v>
      </c>
      <c r="O1319" s="752" t="s">
        <v>469</v>
      </c>
      <c r="P1319" s="752" t="s">
        <v>1238</v>
      </c>
      <c r="Q1319" s="753">
        <v>0</v>
      </c>
      <c r="R1319" s="753">
        <v>0</v>
      </c>
      <c r="S1319" s="753">
        <v>27601</v>
      </c>
      <c r="T1319" s="753">
        <v>27601</v>
      </c>
      <c r="U1319" s="753">
        <v>3100</v>
      </c>
      <c r="V1319" s="751">
        <v>2019</v>
      </c>
      <c r="W1319" s="222"/>
      <c r="X1319" s="186"/>
      <c r="Y1319" s="86" t="str">
        <f t="shared" si="69"/>
        <v/>
      </c>
      <c r="Z1319" s="86" t="str">
        <f t="shared" si="70"/>
        <v/>
      </c>
      <c r="AA1319" s="44"/>
      <c r="AB1319" s="65"/>
      <c r="AC1319" s="40"/>
    </row>
    <row r="1320" spans="1:29" ht="25" hidden="1">
      <c r="A1320" s="751">
        <v>58399</v>
      </c>
      <c r="B1320" s="752" t="s">
        <v>35</v>
      </c>
      <c r="C1320" s="751" t="s">
        <v>2960</v>
      </c>
      <c r="D1320" s="752" t="s">
        <v>1684</v>
      </c>
      <c r="E1320" s="752" t="s">
        <v>1685</v>
      </c>
      <c r="F1320" s="751">
        <v>58383</v>
      </c>
      <c r="G1320" s="752" t="s">
        <v>59</v>
      </c>
      <c r="H1320" s="752" t="s">
        <v>1244</v>
      </c>
      <c r="I1320" s="752" t="s">
        <v>60</v>
      </c>
      <c r="J1320" s="751">
        <v>562</v>
      </c>
      <c r="K1320" s="751">
        <v>4</v>
      </c>
      <c r="L1320" s="752" t="s">
        <v>422</v>
      </c>
      <c r="M1320" s="752" t="s">
        <v>53</v>
      </c>
      <c r="N1320" s="752" t="s">
        <v>70</v>
      </c>
      <c r="O1320" s="752" t="s">
        <v>51</v>
      </c>
      <c r="P1320" s="752" t="s">
        <v>42</v>
      </c>
      <c r="Q1320" s="753">
        <v>15000</v>
      </c>
      <c r="R1320" s="753">
        <v>15000</v>
      </c>
      <c r="S1320" s="753">
        <v>9600</v>
      </c>
      <c r="T1320" s="753">
        <v>9600</v>
      </c>
      <c r="U1320" s="753">
        <v>424</v>
      </c>
      <c r="V1320" s="751">
        <v>2019</v>
      </c>
      <c r="W1320" s="222"/>
      <c r="X1320" s="186" t="str">
        <f>IF(OR(K1320&gt;3,T1320=0,NOT(U1320&gt;0)),"",T1320/U1320)</f>
        <v/>
      </c>
      <c r="Y1320" s="178" t="str">
        <f t="shared" si="69"/>
        <v/>
      </c>
      <c r="Z1320" s="178" t="str">
        <f t="shared" si="70"/>
        <v/>
      </c>
      <c r="AA1320" s="44"/>
      <c r="AB1320" s="65"/>
      <c r="AC1320" s="40"/>
    </row>
    <row r="1321" spans="1:29" hidden="1">
      <c r="A1321" s="751">
        <v>58403</v>
      </c>
      <c r="B1321" s="752" t="s">
        <v>35</v>
      </c>
      <c r="C1321" s="751" t="s">
        <v>2960</v>
      </c>
      <c r="D1321" s="752" t="s">
        <v>1686</v>
      </c>
      <c r="E1321" s="752" t="s">
        <v>2977</v>
      </c>
      <c r="F1321" s="751">
        <v>63249</v>
      </c>
      <c r="G1321" s="752" t="s">
        <v>83</v>
      </c>
      <c r="H1321" s="752" t="s">
        <v>1245</v>
      </c>
      <c r="I1321" s="752" t="s">
        <v>60</v>
      </c>
      <c r="J1321" s="751">
        <v>22</v>
      </c>
      <c r="K1321" s="751">
        <v>2</v>
      </c>
      <c r="L1321" s="752" t="s">
        <v>54</v>
      </c>
      <c r="M1321" s="752" t="s">
        <v>468</v>
      </c>
      <c r="N1321" s="752" t="s">
        <v>469</v>
      </c>
      <c r="O1321" s="752" t="s">
        <v>469</v>
      </c>
      <c r="P1321" s="752" t="s">
        <v>1238</v>
      </c>
      <c r="Q1321" s="753">
        <v>0</v>
      </c>
      <c r="R1321" s="753">
        <v>0</v>
      </c>
      <c r="S1321" s="753">
        <v>40131</v>
      </c>
      <c r="T1321" s="753">
        <v>40131</v>
      </c>
      <c r="U1321" s="753">
        <v>4507</v>
      </c>
      <c r="V1321" s="751">
        <v>2019</v>
      </c>
      <c r="W1321" s="222"/>
      <c r="X1321" s="186"/>
      <c r="Y1321" s="178" t="str">
        <f t="shared" si="69"/>
        <v/>
      </c>
      <c r="Z1321" s="178" t="str">
        <f t="shared" si="70"/>
        <v/>
      </c>
      <c r="AA1321" s="44"/>
      <c r="AB1321" s="65"/>
      <c r="AC1321" s="40"/>
    </row>
    <row r="1322" spans="1:29" hidden="1">
      <c r="A1322" s="751">
        <v>58410</v>
      </c>
      <c r="B1322" s="752" t="s">
        <v>35</v>
      </c>
      <c r="C1322" s="751" t="s">
        <v>2960</v>
      </c>
      <c r="D1322" s="752" t="s">
        <v>1687</v>
      </c>
      <c r="E1322" s="752" t="s">
        <v>2977</v>
      </c>
      <c r="F1322" s="751">
        <v>63249</v>
      </c>
      <c r="G1322" s="752" t="s">
        <v>83</v>
      </c>
      <c r="H1322" s="752" t="s">
        <v>1245</v>
      </c>
      <c r="I1322" s="752" t="s">
        <v>60</v>
      </c>
      <c r="J1322" s="751">
        <v>22</v>
      </c>
      <c r="K1322" s="751">
        <v>2</v>
      </c>
      <c r="L1322" s="752" t="s">
        <v>54</v>
      </c>
      <c r="M1322" s="752" t="s">
        <v>468</v>
      </c>
      <c r="N1322" s="752" t="s">
        <v>469</v>
      </c>
      <c r="O1322" s="752" t="s">
        <v>469</v>
      </c>
      <c r="P1322" s="752" t="s">
        <v>1238</v>
      </c>
      <c r="Q1322" s="753">
        <v>0</v>
      </c>
      <c r="R1322" s="753">
        <v>0</v>
      </c>
      <c r="S1322" s="753">
        <v>43015</v>
      </c>
      <c r="T1322" s="753">
        <v>43015</v>
      </c>
      <c r="U1322" s="753">
        <v>4831</v>
      </c>
      <c r="V1322" s="751">
        <v>2019</v>
      </c>
      <c r="W1322" s="222"/>
      <c r="X1322" s="186"/>
      <c r="Y1322" s="86" t="str">
        <f t="shared" si="69"/>
        <v/>
      </c>
      <c r="Z1322" s="86" t="str">
        <f t="shared" si="70"/>
        <v/>
      </c>
      <c r="AA1322" s="44"/>
      <c r="AB1322" s="65"/>
      <c r="AC1322" s="40"/>
    </row>
    <row r="1323" spans="1:29" hidden="1">
      <c r="A1323" s="751">
        <v>58411</v>
      </c>
      <c r="B1323" s="752" t="s">
        <v>35</v>
      </c>
      <c r="C1323" s="751" t="s">
        <v>2960</v>
      </c>
      <c r="D1323" s="752" t="s">
        <v>1688</v>
      </c>
      <c r="E1323" s="752" t="s">
        <v>2977</v>
      </c>
      <c r="F1323" s="751">
        <v>63249</v>
      </c>
      <c r="G1323" s="752" t="s">
        <v>83</v>
      </c>
      <c r="H1323" s="752" t="s">
        <v>1245</v>
      </c>
      <c r="I1323" s="752" t="s">
        <v>60</v>
      </c>
      <c r="J1323" s="751">
        <v>22</v>
      </c>
      <c r="K1323" s="751">
        <v>2</v>
      </c>
      <c r="L1323" s="752" t="s">
        <v>54</v>
      </c>
      <c r="M1323" s="752" t="s">
        <v>468</v>
      </c>
      <c r="N1323" s="752" t="s">
        <v>469</v>
      </c>
      <c r="O1323" s="752" t="s">
        <v>469</v>
      </c>
      <c r="P1323" s="752" t="s">
        <v>1238</v>
      </c>
      <c r="Q1323" s="753">
        <v>0</v>
      </c>
      <c r="R1323" s="753">
        <v>0</v>
      </c>
      <c r="S1323" s="753">
        <v>5539</v>
      </c>
      <c r="T1323" s="753">
        <v>5539</v>
      </c>
      <c r="U1323" s="753">
        <v>622</v>
      </c>
      <c r="V1323" s="751">
        <v>2019</v>
      </c>
      <c r="W1323" s="222"/>
      <c r="X1323" s="186"/>
      <c r="Y1323" s="86" t="str">
        <f t="shared" si="69"/>
        <v/>
      </c>
      <c r="Z1323" s="86" t="str">
        <f t="shared" si="70"/>
        <v/>
      </c>
      <c r="AA1323" s="44"/>
      <c r="AB1323" s="65"/>
      <c r="AC1323" s="40"/>
    </row>
    <row r="1324" spans="1:29" hidden="1">
      <c r="A1324" s="751">
        <v>58412</v>
      </c>
      <c r="B1324" s="752" t="s">
        <v>35</v>
      </c>
      <c r="C1324" s="751" t="s">
        <v>2960</v>
      </c>
      <c r="D1324" s="752" t="s">
        <v>1784</v>
      </c>
      <c r="E1324" s="752" t="s">
        <v>2977</v>
      </c>
      <c r="F1324" s="751">
        <v>63249</v>
      </c>
      <c r="G1324" s="752" t="s">
        <v>83</v>
      </c>
      <c r="H1324" s="752" t="s">
        <v>1245</v>
      </c>
      <c r="I1324" s="752" t="s">
        <v>60</v>
      </c>
      <c r="J1324" s="751">
        <v>22</v>
      </c>
      <c r="K1324" s="751">
        <v>2</v>
      </c>
      <c r="L1324" s="752" t="s">
        <v>54</v>
      </c>
      <c r="M1324" s="752" t="s">
        <v>468</v>
      </c>
      <c r="N1324" s="752" t="s">
        <v>469</v>
      </c>
      <c r="O1324" s="752" t="s">
        <v>469</v>
      </c>
      <c r="P1324" s="752" t="s">
        <v>1238</v>
      </c>
      <c r="Q1324" s="753">
        <v>0</v>
      </c>
      <c r="R1324" s="753">
        <v>0</v>
      </c>
      <c r="S1324" s="753">
        <v>13499</v>
      </c>
      <c r="T1324" s="753">
        <v>13499</v>
      </c>
      <c r="U1324" s="753">
        <v>1516</v>
      </c>
      <c r="V1324" s="751">
        <v>2019</v>
      </c>
      <c r="W1324" s="222"/>
      <c r="X1324" s="186"/>
      <c r="Y1324" s="86" t="str">
        <f t="shared" si="69"/>
        <v/>
      </c>
      <c r="Z1324" s="86" t="str">
        <f t="shared" si="70"/>
        <v/>
      </c>
      <c r="AA1324" s="44"/>
      <c r="AB1324" s="65"/>
      <c r="AC1324" s="40"/>
    </row>
    <row r="1325" spans="1:29" hidden="1">
      <c r="A1325" s="751">
        <v>58423</v>
      </c>
      <c r="B1325" s="752" t="s">
        <v>35</v>
      </c>
      <c r="C1325" s="751" t="s">
        <v>2960</v>
      </c>
      <c r="D1325" s="752" t="s">
        <v>1785</v>
      </c>
      <c r="E1325" s="752" t="s">
        <v>2977</v>
      </c>
      <c r="F1325" s="751">
        <v>63249</v>
      </c>
      <c r="G1325" s="752" t="s">
        <v>83</v>
      </c>
      <c r="H1325" s="752" t="s">
        <v>1245</v>
      </c>
      <c r="I1325" s="752" t="s">
        <v>60</v>
      </c>
      <c r="J1325" s="751">
        <v>22</v>
      </c>
      <c r="K1325" s="751">
        <v>2</v>
      </c>
      <c r="L1325" s="752" t="s">
        <v>54</v>
      </c>
      <c r="M1325" s="752" t="s">
        <v>468</v>
      </c>
      <c r="N1325" s="752" t="s">
        <v>469</v>
      </c>
      <c r="O1325" s="752" t="s">
        <v>469</v>
      </c>
      <c r="P1325" s="752" t="s">
        <v>1238</v>
      </c>
      <c r="Q1325" s="753">
        <v>0</v>
      </c>
      <c r="R1325" s="753">
        <v>0</v>
      </c>
      <c r="S1325" s="753">
        <v>14568</v>
      </c>
      <c r="T1325" s="753">
        <v>14568</v>
      </c>
      <c r="U1325" s="753">
        <v>1636</v>
      </c>
      <c r="V1325" s="751">
        <v>2019</v>
      </c>
      <c r="W1325" s="222"/>
      <c r="X1325" s="186"/>
      <c r="Y1325" s="178" t="str">
        <f t="shared" si="69"/>
        <v/>
      </c>
      <c r="Z1325" s="178" t="str">
        <f t="shared" si="70"/>
        <v/>
      </c>
      <c r="AA1325" s="44"/>
      <c r="AB1325" s="65"/>
      <c r="AC1325" s="40"/>
    </row>
    <row r="1326" spans="1:29" ht="25" hidden="1">
      <c r="A1326" s="751">
        <v>58507</v>
      </c>
      <c r="B1326" s="752" t="s">
        <v>56</v>
      </c>
      <c r="C1326" s="751" t="s">
        <v>2960</v>
      </c>
      <c r="D1326" s="752" t="s">
        <v>1689</v>
      </c>
      <c r="E1326" s="752" t="s">
        <v>1690</v>
      </c>
      <c r="F1326" s="751">
        <v>58487</v>
      </c>
      <c r="G1326" s="752" t="s">
        <v>59</v>
      </c>
      <c r="H1326" s="752" t="s">
        <v>1244</v>
      </c>
      <c r="I1326" s="752" t="s">
        <v>60</v>
      </c>
      <c r="J1326" s="751">
        <v>622</v>
      </c>
      <c r="K1326" s="751">
        <v>5</v>
      </c>
      <c r="L1326" s="752" t="s">
        <v>423</v>
      </c>
      <c r="M1326" s="752" t="s">
        <v>52</v>
      </c>
      <c r="N1326" s="752" t="s">
        <v>48</v>
      </c>
      <c r="O1326" s="752" t="s">
        <v>48</v>
      </c>
      <c r="P1326" s="752" t="s">
        <v>49</v>
      </c>
      <c r="Q1326" s="753">
        <v>4014</v>
      </c>
      <c r="R1326" s="753">
        <v>3232</v>
      </c>
      <c r="S1326" s="753">
        <v>22081</v>
      </c>
      <c r="T1326" s="753">
        <v>17774</v>
      </c>
      <c r="U1326" s="753">
        <v>1435.25</v>
      </c>
      <c r="V1326" s="751">
        <v>2019</v>
      </c>
      <c r="W1326" s="222"/>
      <c r="X1326" s="186"/>
      <c r="Y1326" s="178" t="str">
        <f t="shared" si="69"/>
        <v/>
      </c>
      <c r="Z1326" s="178">
        <f t="shared" si="70"/>
        <v>5.9172216043841193</v>
      </c>
      <c r="AA1326" s="44"/>
      <c r="AB1326" s="65"/>
      <c r="AC1326" s="40"/>
    </row>
    <row r="1327" spans="1:29" ht="25" hidden="1">
      <c r="A1327" s="751">
        <v>58507</v>
      </c>
      <c r="B1327" s="752" t="s">
        <v>56</v>
      </c>
      <c r="C1327" s="751" t="s">
        <v>2960</v>
      </c>
      <c r="D1327" s="752" t="s">
        <v>1689</v>
      </c>
      <c r="E1327" s="752" t="s">
        <v>1690</v>
      </c>
      <c r="F1327" s="751">
        <v>58487</v>
      </c>
      <c r="G1327" s="752" t="s">
        <v>59</v>
      </c>
      <c r="H1327" s="752" t="s">
        <v>1244</v>
      </c>
      <c r="I1327" s="752" t="s">
        <v>60</v>
      </c>
      <c r="J1327" s="751">
        <v>622</v>
      </c>
      <c r="K1327" s="751">
        <v>5</v>
      </c>
      <c r="L1327" s="752" t="s">
        <v>423</v>
      </c>
      <c r="M1327" s="752" t="s">
        <v>52</v>
      </c>
      <c r="N1327" s="752" t="s">
        <v>41</v>
      </c>
      <c r="O1327" s="752" t="s">
        <v>41</v>
      </c>
      <c r="P1327" s="752" t="s">
        <v>1091</v>
      </c>
      <c r="Q1327" s="753">
        <v>409889</v>
      </c>
      <c r="R1327" s="753">
        <v>330017</v>
      </c>
      <c r="S1327" s="753">
        <v>422186</v>
      </c>
      <c r="T1327" s="753">
        <v>339918</v>
      </c>
      <c r="U1327" s="753">
        <v>27446.75</v>
      </c>
      <c r="V1327" s="751">
        <v>2019</v>
      </c>
      <c r="W1327" s="222"/>
      <c r="X1327" s="186"/>
      <c r="Y1327" s="178">
        <f t="shared" si="69"/>
        <v>5.9161551283569374</v>
      </c>
      <c r="Z1327" s="178" t="str">
        <f t="shared" si="70"/>
        <v/>
      </c>
      <c r="AA1327" s="44"/>
      <c r="AB1327" s="65"/>
      <c r="AC1327" s="40"/>
    </row>
    <row r="1328" spans="1:29" ht="25" hidden="1">
      <c r="A1328" s="751">
        <v>58507</v>
      </c>
      <c r="B1328" s="752" t="s">
        <v>56</v>
      </c>
      <c r="C1328" s="751" t="s">
        <v>2960</v>
      </c>
      <c r="D1328" s="752" t="s">
        <v>1689</v>
      </c>
      <c r="E1328" s="752" t="s">
        <v>1690</v>
      </c>
      <c r="F1328" s="751">
        <v>58487</v>
      </c>
      <c r="G1328" s="752" t="s">
        <v>59</v>
      </c>
      <c r="H1328" s="752" t="s">
        <v>1244</v>
      </c>
      <c r="I1328" s="752" t="s">
        <v>60</v>
      </c>
      <c r="J1328" s="751">
        <v>622</v>
      </c>
      <c r="K1328" s="751">
        <v>5</v>
      </c>
      <c r="L1328" s="752" t="s">
        <v>423</v>
      </c>
      <c r="M1328" s="752" t="s">
        <v>53</v>
      </c>
      <c r="N1328" s="752" t="s">
        <v>48</v>
      </c>
      <c r="O1328" s="752" t="s">
        <v>48</v>
      </c>
      <c r="P1328" s="752" t="s">
        <v>49</v>
      </c>
      <c r="Q1328" s="753">
        <v>4091</v>
      </c>
      <c r="R1328" s="753">
        <v>282</v>
      </c>
      <c r="S1328" s="753">
        <v>22503</v>
      </c>
      <c r="T1328" s="753">
        <v>1559</v>
      </c>
      <c r="U1328" s="753">
        <v>125.905</v>
      </c>
      <c r="V1328" s="751">
        <v>2019</v>
      </c>
      <c r="W1328" s="222"/>
      <c r="X1328" s="186"/>
      <c r="Y1328" s="178" t="str">
        <f t="shared" si="69"/>
        <v/>
      </c>
      <c r="Z1328" s="178" t="str">
        <f t="shared" si="70"/>
        <v/>
      </c>
      <c r="AA1328" s="44"/>
      <c r="AB1328" s="65"/>
      <c r="AC1328" s="40"/>
    </row>
    <row r="1329" spans="1:29" ht="25" hidden="1">
      <c r="A1329" s="751">
        <v>58507</v>
      </c>
      <c r="B1329" s="752" t="s">
        <v>56</v>
      </c>
      <c r="C1329" s="751" t="s">
        <v>2960</v>
      </c>
      <c r="D1329" s="752" t="s">
        <v>1689</v>
      </c>
      <c r="E1329" s="752" t="s">
        <v>1690</v>
      </c>
      <c r="F1329" s="751">
        <v>58487</v>
      </c>
      <c r="G1329" s="752" t="s">
        <v>59</v>
      </c>
      <c r="H1329" s="752" t="s">
        <v>1244</v>
      </c>
      <c r="I1329" s="752" t="s">
        <v>60</v>
      </c>
      <c r="J1329" s="751">
        <v>622</v>
      </c>
      <c r="K1329" s="751">
        <v>5</v>
      </c>
      <c r="L1329" s="752" t="s">
        <v>423</v>
      </c>
      <c r="M1329" s="752" t="s">
        <v>53</v>
      </c>
      <c r="N1329" s="752" t="s">
        <v>41</v>
      </c>
      <c r="O1329" s="752" t="s">
        <v>41</v>
      </c>
      <c r="P1329" s="752" t="s">
        <v>1091</v>
      </c>
      <c r="Q1329" s="753">
        <v>154783</v>
      </c>
      <c r="R1329" s="753">
        <v>10723</v>
      </c>
      <c r="S1329" s="753">
        <v>159426</v>
      </c>
      <c r="T1329" s="753">
        <v>11043</v>
      </c>
      <c r="U1329" s="753">
        <v>892.09500000000003</v>
      </c>
      <c r="V1329" s="751">
        <v>2019</v>
      </c>
      <c r="W1329" s="222"/>
      <c r="X1329" s="186"/>
      <c r="Y1329" s="178" t="str">
        <f t="shared" si="69"/>
        <v/>
      </c>
      <c r="Z1329" s="178" t="str">
        <f t="shared" si="70"/>
        <v/>
      </c>
      <c r="AA1329" s="44"/>
      <c r="AB1329" s="65"/>
      <c r="AC1329" s="40"/>
    </row>
    <row r="1330" spans="1:29" hidden="1">
      <c r="A1330" s="751">
        <v>58534</v>
      </c>
      <c r="B1330" s="752" t="s">
        <v>35</v>
      </c>
      <c r="C1330" s="751" t="s">
        <v>2960</v>
      </c>
      <c r="D1330" s="752" t="s">
        <v>1464</v>
      </c>
      <c r="E1330" s="752" t="s">
        <v>2495</v>
      </c>
      <c r="F1330" s="751">
        <v>61944</v>
      </c>
      <c r="G1330" s="752" t="s">
        <v>83</v>
      </c>
      <c r="H1330" s="752" t="s">
        <v>1245</v>
      </c>
      <c r="I1330" s="752" t="s">
        <v>60</v>
      </c>
      <c r="J1330" s="751">
        <v>22</v>
      </c>
      <c r="K1330" s="751">
        <v>2</v>
      </c>
      <c r="L1330" s="752" t="s">
        <v>54</v>
      </c>
      <c r="M1330" s="752" t="s">
        <v>468</v>
      </c>
      <c r="N1330" s="752" t="s">
        <v>469</v>
      </c>
      <c r="O1330" s="752" t="s">
        <v>469</v>
      </c>
      <c r="P1330" s="752" t="s">
        <v>1238</v>
      </c>
      <c r="Q1330" s="753">
        <v>0</v>
      </c>
      <c r="R1330" s="753">
        <v>0</v>
      </c>
      <c r="S1330" s="753">
        <v>46255</v>
      </c>
      <c r="T1330" s="753">
        <v>46255</v>
      </c>
      <c r="U1330" s="753">
        <v>5195</v>
      </c>
      <c r="V1330" s="751">
        <v>2019</v>
      </c>
      <c r="W1330" s="222"/>
      <c r="X1330" s="186"/>
      <c r="Y1330" s="178" t="str">
        <f t="shared" si="69"/>
        <v/>
      </c>
      <c r="Z1330" s="178" t="str">
        <f t="shared" si="70"/>
        <v/>
      </c>
      <c r="AA1330" s="44"/>
      <c r="AB1330" s="65"/>
      <c r="AC1330" s="40"/>
    </row>
    <row r="1331" spans="1:29" hidden="1">
      <c r="A1331" s="751">
        <v>58541</v>
      </c>
      <c r="B1331" s="752" t="s">
        <v>35</v>
      </c>
      <c r="C1331" s="751" t="s">
        <v>2960</v>
      </c>
      <c r="D1331" s="752" t="s">
        <v>1691</v>
      </c>
      <c r="E1331" s="752" t="s">
        <v>1691</v>
      </c>
      <c r="F1331" s="751">
        <v>58511</v>
      </c>
      <c r="G1331" s="752" t="s">
        <v>91</v>
      </c>
      <c r="H1331" s="752" t="s">
        <v>1245</v>
      </c>
      <c r="I1331" s="752" t="s">
        <v>60</v>
      </c>
      <c r="J1331" s="751">
        <v>22</v>
      </c>
      <c r="K1331" s="751">
        <v>2</v>
      </c>
      <c r="L1331" s="752" t="s">
        <v>54</v>
      </c>
      <c r="M1331" s="752" t="s">
        <v>468</v>
      </c>
      <c r="N1331" s="752" t="s">
        <v>469</v>
      </c>
      <c r="O1331" s="752" t="s">
        <v>469</v>
      </c>
      <c r="P1331" s="752" t="s">
        <v>1238</v>
      </c>
      <c r="Q1331" s="753">
        <v>0</v>
      </c>
      <c r="R1331" s="753">
        <v>0</v>
      </c>
      <c r="S1331" s="753">
        <v>24023</v>
      </c>
      <c r="T1331" s="753">
        <v>24023</v>
      </c>
      <c r="U1331" s="753">
        <v>2698</v>
      </c>
      <c r="V1331" s="751">
        <v>2019</v>
      </c>
      <c r="W1331" s="222"/>
      <c r="X1331" s="186"/>
      <c r="Y1331" s="178" t="str">
        <f t="shared" si="69"/>
        <v/>
      </c>
      <c r="Z1331" s="178" t="str">
        <f t="shared" si="70"/>
        <v/>
      </c>
      <c r="AA1331" s="44"/>
      <c r="AB1331" s="65"/>
      <c r="AC1331" s="40"/>
    </row>
    <row r="1332" spans="1:29" hidden="1">
      <c r="A1332" s="751">
        <v>58550</v>
      </c>
      <c r="B1332" s="752" t="s">
        <v>35</v>
      </c>
      <c r="C1332" s="751" t="s">
        <v>2960</v>
      </c>
      <c r="D1332" s="752" t="s">
        <v>1692</v>
      </c>
      <c r="E1332" s="752" t="s">
        <v>1952</v>
      </c>
      <c r="F1332" s="751">
        <v>58491</v>
      </c>
      <c r="G1332" s="752" t="s">
        <v>59</v>
      </c>
      <c r="H1332" s="752" t="s">
        <v>1244</v>
      </c>
      <c r="I1332" s="752" t="s">
        <v>60</v>
      </c>
      <c r="J1332" s="751">
        <v>22</v>
      </c>
      <c r="K1332" s="751">
        <v>2</v>
      </c>
      <c r="L1332" s="752" t="s">
        <v>54</v>
      </c>
      <c r="M1332" s="752" t="s">
        <v>468</v>
      </c>
      <c r="N1332" s="752" t="s">
        <v>469</v>
      </c>
      <c r="O1332" s="752" t="s">
        <v>469</v>
      </c>
      <c r="P1332" s="752" t="s">
        <v>1238</v>
      </c>
      <c r="Q1332" s="753">
        <v>0</v>
      </c>
      <c r="R1332" s="753">
        <v>0</v>
      </c>
      <c r="S1332" s="753">
        <v>29848</v>
      </c>
      <c r="T1332" s="753">
        <v>29848</v>
      </c>
      <c r="U1332" s="753">
        <v>3352</v>
      </c>
      <c r="V1332" s="751">
        <v>2019</v>
      </c>
      <c r="W1332" s="222"/>
      <c r="X1332" s="186"/>
      <c r="Y1332" s="178" t="str">
        <f t="shared" si="69"/>
        <v/>
      </c>
      <c r="Z1332" s="178" t="str">
        <f t="shared" si="70"/>
        <v/>
      </c>
      <c r="AA1332" s="44"/>
      <c r="AB1332" s="65"/>
      <c r="AC1332" s="40"/>
    </row>
    <row r="1333" spans="1:29">
      <c r="A1333" s="751">
        <v>58551</v>
      </c>
      <c r="B1333" s="752" t="s">
        <v>35</v>
      </c>
      <c r="C1333" s="751" t="s">
        <v>2960</v>
      </c>
      <c r="D1333" s="752" t="s">
        <v>2978</v>
      </c>
      <c r="E1333" s="752" t="s">
        <v>2978</v>
      </c>
      <c r="F1333" s="751">
        <v>63130</v>
      </c>
      <c r="G1333" s="752" t="s">
        <v>43</v>
      </c>
      <c r="H1333" s="752" t="s">
        <v>1245</v>
      </c>
      <c r="I1333" s="752" t="s">
        <v>60</v>
      </c>
      <c r="J1333" s="751">
        <v>22</v>
      </c>
      <c r="K1333" s="751">
        <v>2</v>
      </c>
      <c r="L1333" s="752" t="s">
        <v>54</v>
      </c>
      <c r="M1333" s="752" t="s">
        <v>1322</v>
      </c>
      <c r="N1333" s="752" t="s">
        <v>41</v>
      </c>
      <c r="O1333" s="752" t="s">
        <v>41</v>
      </c>
      <c r="P1333" s="752" t="s">
        <v>1091</v>
      </c>
      <c r="Q1333" s="753">
        <v>872820</v>
      </c>
      <c r="R1333" s="753">
        <v>872820</v>
      </c>
      <c r="S1333" s="753">
        <v>895515</v>
      </c>
      <c r="T1333" s="753">
        <v>895515</v>
      </c>
      <c r="U1333" s="753">
        <v>106222</v>
      </c>
      <c r="V1333" s="751">
        <v>2019</v>
      </c>
      <c r="W1333" s="222"/>
      <c r="X1333" s="186">
        <f>IF(OR(K1333&gt;3,T1333=0,NOT(U1333&gt;0)),"",T1333/U1333)</f>
        <v>8.4305981811677437</v>
      </c>
      <c r="Y1333" s="178" t="str">
        <f t="shared" si="69"/>
        <v/>
      </c>
      <c r="Z1333" s="178" t="str">
        <f t="shared" si="70"/>
        <v/>
      </c>
      <c r="AA1333" s="44"/>
      <c r="AB1333" s="65"/>
      <c r="AC1333" s="40"/>
    </row>
    <row r="1334" spans="1:29" hidden="1">
      <c r="A1334" s="751">
        <v>58554</v>
      </c>
      <c r="B1334" s="752" t="s">
        <v>35</v>
      </c>
      <c r="C1334" s="751" t="s">
        <v>2960</v>
      </c>
      <c r="D1334" s="752" t="s">
        <v>1786</v>
      </c>
      <c r="E1334" s="752" t="s">
        <v>1693</v>
      </c>
      <c r="F1334" s="751">
        <v>58468</v>
      </c>
      <c r="G1334" s="752" t="s">
        <v>43</v>
      </c>
      <c r="H1334" s="752" t="s">
        <v>1245</v>
      </c>
      <c r="I1334" s="752" t="s">
        <v>60</v>
      </c>
      <c r="J1334" s="751">
        <v>22</v>
      </c>
      <c r="K1334" s="751">
        <v>2</v>
      </c>
      <c r="L1334" s="752" t="s">
        <v>54</v>
      </c>
      <c r="M1334" s="752" t="s">
        <v>468</v>
      </c>
      <c r="N1334" s="752" t="s">
        <v>469</v>
      </c>
      <c r="O1334" s="752" t="s">
        <v>469</v>
      </c>
      <c r="P1334" s="752" t="s">
        <v>1238</v>
      </c>
      <c r="Q1334" s="753">
        <v>0</v>
      </c>
      <c r="R1334" s="753">
        <v>0</v>
      </c>
      <c r="S1334" s="753">
        <v>85605</v>
      </c>
      <c r="T1334" s="753">
        <v>85605</v>
      </c>
      <c r="U1334" s="753">
        <v>9614</v>
      </c>
      <c r="V1334" s="751">
        <v>2019</v>
      </c>
      <c r="W1334" s="222"/>
      <c r="X1334" s="186"/>
      <c r="Y1334" s="178" t="str">
        <f t="shared" si="69"/>
        <v/>
      </c>
      <c r="Z1334" s="178" t="str">
        <f t="shared" si="70"/>
        <v/>
      </c>
      <c r="AA1334" s="44"/>
      <c r="AB1334" s="65"/>
      <c r="AC1334" s="40"/>
    </row>
    <row r="1335" spans="1:29" ht="25" hidden="1">
      <c r="A1335" s="751">
        <v>58561</v>
      </c>
      <c r="B1335" s="752" t="s">
        <v>35</v>
      </c>
      <c r="C1335" s="751" t="s">
        <v>2960</v>
      </c>
      <c r="D1335" s="752" t="s">
        <v>1694</v>
      </c>
      <c r="E1335" s="752" t="s">
        <v>1189</v>
      </c>
      <c r="F1335" s="751">
        <v>56769</v>
      </c>
      <c r="G1335" s="752" t="s">
        <v>83</v>
      </c>
      <c r="H1335" s="752" t="s">
        <v>1245</v>
      </c>
      <c r="I1335" s="752" t="s">
        <v>60</v>
      </c>
      <c r="J1335" s="751">
        <v>22</v>
      </c>
      <c r="K1335" s="751">
        <v>2</v>
      </c>
      <c r="L1335" s="752" t="s">
        <v>54</v>
      </c>
      <c r="M1335" s="752" t="s">
        <v>468</v>
      </c>
      <c r="N1335" s="752" t="s">
        <v>469</v>
      </c>
      <c r="O1335" s="752" t="s">
        <v>469</v>
      </c>
      <c r="P1335" s="752" t="s">
        <v>1238</v>
      </c>
      <c r="Q1335" s="753">
        <v>0</v>
      </c>
      <c r="R1335" s="753">
        <v>0</v>
      </c>
      <c r="S1335" s="753">
        <v>20621</v>
      </c>
      <c r="T1335" s="753">
        <v>20621</v>
      </c>
      <c r="U1335" s="753">
        <v>2316</v>
      </c>
      <c r="V1335" s="751">
        <v>2019</v>
      </c>
      <c r="W1335" s="222"/>
      <c r="X1335" s="186"/>
      <c r="Y1335" s="178" t="str">
        <f t="shared" si="69"/>
        <v/>
      </c>
      <c r="Z1335" s="178" t="str">
        <f t="shared" si="70"/>
        <v/>
      </c>
      <c r="AA1335" s="44"/>
      <c r="AB1335" s="65"/>
      <c r="AC1335" s="40"/>
    </row>
    <row r="1336" spans="1:29" ht="25" hidden="1">
      <c r="A1336" s="751">
        <v>58568</v>
      </c>
      <c r="B1336" s="752" t="s">
        <v>35</v>
      </c>
      <c r="C1336" s="751" t="s">
        <v>2960</v>
      </c>
      <c r="D1336" s="752" t="s">
        <v>1787</v>
      </c>
      <c r="E1336" s="752" t="s">
        <v>1207</v>
      </c>
      <c r="F1336" s="751">
        <v>56999</v>
      </c>
      <c r="G1336" s="752" t="s">
        <v>83</v>
      </c>
      <c r="H1336" s="752" t="s">
        <v>1245</v>
      </c>
      <c r="I1336" s="752" t="s">
        <v>60</v>
      </c>
      <c r="J1336" s="751">
        <v>22</v>
      </c>
      <c r="K1336" s="751">
        <v>1</v>
      </c>
      <c r="L1336" s="752" t="s">
        <v>36</v>
      </c>
      <c r="M1336" s="752" t="s">
        <v>468</v>
      </c>
      <c r="N1336" s="752" t="s">
        <v>469</v>
      </c>
      <c r="O1336" s="752" t="s">
        <v>469</v>
      </c>
      <c r="P1336" s="752" t="s">
        <v>1238</v>
      </c>
      <c r="Q1336" s="753">
        <v>0</v>
      </c>
      <c r="R1336" s="753">
        <v>0</v>
      </c>
      <c r="S1336" s="753">
        <v>37191</v>
      </c>
      <c r="T1336" s="753">
        <v>37191</v>
      </c>
      <c r="U1336" s="753">
        <v>4177</v>
      </c>
      <c r="V1336" s="751">
        <v>2019</v>
      </c>
      <c r="W1336" s="222"/>
      <c r="X1336" s="186"/>
      <c r="Y1336" s="86" t="str">
        <f t="shared" si="69"/>
        <v/>
      </c>
      <c r="Z1336" s="86" t="str">
        <f t="shared" si="70"/>
        <v/>
      </c>
      <c r="AA1336" s="44"/>
      <c r="AB1336" s="65"/>
      <c r="AC1336" s="40"/>
    </row>
    <row r="1337" spans="1:29" hidden="1">
      <c r="A1337" s="751">
        <v>58583</v>
      </c>
      <c r="B1337" s="752" t="s">
        <v>35</v>
      </c>
      <c r="C1337" s="751" t="s">
        <v>2960</v>
      </c>
      <c r="D1337" s="752" t="s">
        <v>1695</v>
      </c>
      <c r="E1337" s="752" t="s">
        <v>1696</v>
      </c>
      <c r="F1337" s="751">
        <v>58541</v>
      </c>
      <c r="G1337" s="752" t="s">
        <v>136</v>
      </c>
      <c r="H1337" s="752" t="s">
        <v>1245</v>
      </c>
      <c r="I1337" s="752" t="s">
        <v>60</v>
      </c>
      <c r="J1337" s="751">
        <v>22</v>
      </c>
      <c r="K1337" s="751">
        <v>2</v>
      </c>
      <c r="L1337" s="752" t="s">
        <v>54</v>
      </c>
      <c r="M1337" s="752" t="s">
        <v>468</v>
      </c>
      <c r="N1337" s="752" t="s">
        <v>469</v>
      </c>
      <c r="O1337" s="752" t="s">
        <v>469</v>
      </c>
      <c r="P1337" s="752" t="s">
        <v>1238</v>
      </c>
      <c r="Q1337" s="753">
        <v>0</v>
      </c>
      <c r="R1337" s="753">
        <v>0</v>
      </c>
      <c r="S1337" s="753">
        <v>34219</v>
      </c>
      <c r="T1337" s="753">
        <v>34219</v>
      </c>
      <c r="U1337" s="753">
        <v>3843</v>
      </c>
      <c r="V1337" s="751">
        <v>2019</v>
      </c>
      <c r="W1337" s="222"/>
      <c r="X1337" s="186"/>
      <c r="Y1337" s="178" t="str">
        <f t="shared" si="69"/>
        <v/>
      </c>
      <c r="Z1337" s="178" t="str">
        <f t="shared" si="70"/>
        <v/>
      </c>
      <c r="AA1337" s="44"/>
      <c r="AB1337" s="65"/>
      <c r="AC1337" s="40"/>
    </row>
    <row r="1338" spans="1:29" hidden="1">
      <c r="A1338" s="751">
        <v>58586</v>
      </c>
      <c r="B1338" s="752" t="s">
        <v>35</v>
      </c>
      <c r="C1338" s="751" t="s">
        <v>2960</v>
      </c>
      <c r="D1338" s="752" t="s">
        <v>2471</v>
      </c>
      <c r="E1338" s="752" t="s">
        <v>2040</v>
      </c>
      <c r="F1338" s="751">
        <v>60947</v>
      </c>
      <c r="G1338" s="752" t="s">
        <v>83</v>
      </c>
      <c r="H1338" s="752" t="s">
        <v>1245</v>
      </c>
      <c r="I1338" s="752" t="s">
        <v>60</v>
      </c>
      <c r="J1338" s="751">
        <v>22</v>
      </c>
      <c r="K1338" s="751">
        <v>2</v>
      </c>
      <c r="L1338" s="752" t="s">
        <v>54</v>
      </c>
      <c r="M1338" s="752" t="s">
        <v>468</v>
      </c>
      <c r="N1338" s="752" t="s">
        <v>469</v>
      </c>
      <c r="O1338" s="752" t="s">
        <v>469</v>
      </c>
      <c r="P1338" s="752" t="s">
        <v>1238</v>
      </c>
      <c r="Q1338" s="753">
        <v>0</v>
      </c>
      <c r="R1338" s="753">
        <v>0</v>
      </c>
      <c r="S1338" s="753">
        <v>15619</v>
      </c>
      <c r="T1338" s="753">
        <v>15619</v>
      </c>
      <c r="U1338" s="753">
        <v>1754</v>
      </c>
      <c r="V1338" s="751">
        <v>2019</v>
      </c>
      <c r="W1338" s="222"/>
      <c r="X1338" s="186"/>
      <c r="Y1338" s="86" t="str">
        <f t="shared" si="69"/>
        <v/>
      </c>
      <c r="Z1338" s="86" t="str">
        <f t="shared" si="70"/>
        <v/>
      </c>
      <c r="AA1338" s="44"/>
      <c r="AB1338" s="65"/>
      <c r="AC1338" s="40"/>
    </row>
    <row r="1339" spans="1:29" ht="25" hidden="1">
      <c r="A1339" s="751">
        <v>58595</v>
      </c>
      <c r="B1339" s="752" t="s">
        <v>35</v>
      </c>
      <c r="C1339" s="751" t="s">
        <v>2960</v>
      </c>
      <c r="D1339" s="752" t="s">
        <v>1697</v>
      </c>
      <c r="E1339" s="752" t="s">
        <v>1698</v>
      </c>
      <c r="F1339" s="751">
        <v>58550</v>
      </c>
      <c r="G1339" s="752" t="s">
        <v>98</v>
      </c>
      <c r="H1339" s="752" t="s">
        <v>1245</v>
      </c>
      <c r="I1339" s="752" t="s">
        <v>60</v>
      </c>
      <c r="J1339" s="751">
        <v>22</v>
      </c>
      <c r="K1339" s="751">
        <v>2</v>
      </c>
      <c r="L1339" s="752" t="s">
        <v>54</v>
      </c>
      <c r="M1339" s="752" t="s">
        <v>44</v>
      </c>
      <c r="N1339" s="752" t="s">
        <v>71</v>
      </c>
      <c r="O1339" s="752" t="s">
        <v>72</v>
      </c>
      <c r="P1339" s="752" t="s">
        <v>47</v>
      </c>
      <c r="Q1339" s="753">
        <v>0</v>
      </c>
      <c r="R1339" s="753">
        <v>0</v>
      </c>
      <c r="S1339" s="753">
        <v>0</v>
      </c>
      <c r="T1339" s="753">
        <v>0</v>
      </c>
      <c r="U1339" s="753">
        <v>0</v>
      </c>
      <c r="V1339" s="751">
        <v>2019</v>
      </c>
      <c r="W1339" s="222"/>
      <c r="X1339" s="186"/>
      <c r="Y1339" s="178" t="str">
        <f t="shared" si="69"/>
        <v/>
      </c>
      <c r="Z1339" s="178" t="str">
        <f t="shared" si="70"/>
        <v/>
      </c>
      <c r="AA1339" s="44"/>
      <c r="AB1339" s="65"/>
      <c r="AC1339" s="40"/>
    </row>
    <row r="1340" spans="1:29" hidden="1">
      <c r="A1340" s="751">
        <v>58608</v>
      </c>
      <c r="B1340" s="752" t="s">
        <v>35</v>
      </c>
      <c r="C1340" s="751" t="s">
        <v>2960</v>
      </c>
      <c r="D1340" s="752" t="s">
        <v>1953</v>
      </c>
      <c r="E1340" s="752" t="s">
        <v>1954</v>
      </c>
      <c r="F1340" s="751">
        <v>58565</v>
      </c>
      <c r="G1340" s="752" t="s">
        <v>92</v>
      </c>
      <c r="H1340" s="752" t="s">
        <v>1245</v>
      </c>
      <c r="I1340" s="752" t="s">
        <v>60</v>
      </c>
      <c r="J1340" s="751">
        <v>22</v>
      </c>
      <c r="K1340" s="751">
        <v>2</v>
      </c>
      <c r="L1340" s="752" t="s">
        <v>54</v>
      </c>
      <c r="M1340" s="752" t="s">
        <v>73</v>
      </c>
      <c r="N1340" s="752" t="s">
        <v>74</v>
      </c>
      <c r="O1340" s="752" t="s">
        <v>74</v>
      </c>
      <c r="P1340" s="752" t="s">
        <v>1238</v>
      </c>
      <c r="Q1340" s="753">
        <v>0</v>
      </c>
      <c r="R1340" s="753">
        <v>0</v>
      </c>
      <c r="S1340" s="753">
        <v>891656</v>
      </c>
      <c r="T1340" s="753">
        <v>891656</v>
      </c>
      <c r="U1340" s="753">
        <v>100141</v>
      </c>
      <c r="V1340" s="751">
        <v>2019</v>
      </c>
      <c r="W1340" s="222"/>
      <c r="X1340" s="186"/>
      <c r="Y1340" s="178" t="str">
        <f t="shared" si="69"/>
        <v/>
      </c>
      <c r="Z1340" s="178" t="str">
        <f t="shared" si="70"/>
        <v/>
      </c>
      <c r="AA1340" s="44"/>
      <c r="AB1340" s="65"/>
      <c r="AC1340" s="40"/>
    </row>
    <row r="1341" spans="1:29" hidden="1">
      <c r="A1341" s="751">
        <v>58620</v>
      </c>
      <c r="B1341" s="752" t="s">
        <v>35</v>
      </c>
      <c r="C1341" s="751" t="s">
        <v>2960</v>
      </c>
      <c r="D1341" s="752" t="s">
        <v>2260</v>
      </c>
      <c r="E1341" s="752" t="s">
        <v>2261</v>
      </c>
      <c r="F1341" s="751">
        <v>58574</v>
      </c>
      <c r="G1341" s="752" t="s">
        <v>92</v>
      </c>
      <c r="H1341" s="752" t="s">
        <v>1245</v>
      </c>
      <c r="I1341" s="752" t="s">
        <v>60</v>
      </c>
      <c r="J1341" s="751">
        <v>22</v>
      </c>
      <c r="K1341" s="751">
        <v>2</v>
      </c>
      <c r="L1341" s="752" t="s">
        <v>54</v>
      </c>
      <c r="M1341" s="752" t="s">
        <v>73</v>
      </c>
      <c r="N1341" s="752" t="s">
        <v>74</v>
      </c>
      <c r="O1341" s="752" t="s">
        <v>74</v>
      </c>
      <c r="P1341" s="752" t="s">
        <v>1238</v>
      </c>
      <c r="Q1341" s="753">
        <v>0</v>
      </c>
      <c r="R1341" s="753">
        <v>0</v>
      </c>
      <c r="S1341" s="753">
        <v>506862</v>
      </c>
      <c r="T1341" s="753">
        <v>506862</v>
      </c>
      <c r="U1341" s="753">
        <v>56925</v>
      </c>
      <c r="V1341" s="751">
        <v>2019</v>
      </c>
      <c r="W1341" s="222"/>
      <c r="X1341" s="186"/>
      <c r="Y1341" s="86" t="str">
        <f t="shared" si="69"/>
        <v/>
      </c>
      <c r="Z1341" s="86" t="str">
        <f t="shared" si="70"/>
        <v/>
      </c>
      <c r="AA1341" s="44"/>
      <c r="AB1341" s="65"/>
      <c r="AC1341" s="40"/>
    </row>
    <row r="1342" spans="1:29" hidden="1">
      <c r="A1342" s="751">
        <v>58624</v>
      </c>
      <c r="B1342" s="752" t="s">
        <v>35</v>
      </c>
      <c r="C1342" s="751" t="s">
        <v>2960</v>
      </c>
      <c r="D1342" s="752" t="s">
        <v>1788</v>
      </c>
      <c r="E1342" s="752" t="s">
        <v>1789</v>
      </c>
      <c r="F1342" s="751">
        <v>58578</v>
      </c>
      <c r="G1342" s="752" t="s">
        <v>83</v>
      </c>
      <c r="H1342" s="752" t="s">
        <v>1245</v>
      </c>
      <c r="I1342" s="752" t="s">
        <v>60</v>
      </c>
      <c r="J1342" s="751">
        <v>22</v>
      </c>
      <c r="K1342" s="751">
        <v>2</v>
      </c>
      <c r="L1342" s="752" t="s">
        <v>54</v>
      </c>
      <c r="M1342" s="752" t="s">
        <v>468</v>
      </c>
      <c r="N1342" s="752" t="s">
        <v>469</v>
      </c>
      <c r="O1342" s="752" t="s">
        <v>469</v>
      </c>
      <c r="P1342" s="752" t="s">
        <v>1238</v>
      </c>
      <c r="Q1342" s="753">
        <v>0</v>
      </c>
      <c r="R1342" s="753">
        <v>0</v>
      </c>
      <c r="S1342" s="753">
        <v>21511</v>
      </c>
      <c r="T1342" s="753">
        <v>21511</v>
      </c>
      <c r="U1342" s="753">
        <v>2416</v>
      </c>
      <c r="V1342" s="751">
        <v>2019</v>
      </c>
      <c r="W1342" s="222"/>
      <c r="X1342" s="186"/>
      <c r="Y1342" s="178" t="str">
        <f t="shared" si="69"/>
        <v/>
      </c>
      <c r="Z1342" s="178" t="str">
        <f t="shared" si="70"/>
        <v/>
      </c>
      <c r="AA1342" s="44"/>
      <c r="AB1342" s="65"/>
      <c r="AC1342" s="40"/>
    </row>
    <row r="1343" spans="1:29" hidden="1">
      <c r="A1343" s="751">
        <v>58647</v>
      </c>
      <c r="B1343" s="752" t="s">
        <v>35</v>
      </c>
      <c r="C1343" s="751" t="s">
        <v>2960</v>
      </c>
      <c r="D1343" s="752" t="s">
        <v>1955</v>
      </c>
      <c r="E1343" s="752" t="s">
        <v>1285</v>
      </c>
      <c r="F1343" s="751">
        <v>57365</v>
      </c>
      <c r="G1343" s="752" t="s">
        <v>59</v>
      </c>
      <c r="H1343" s="752" t="s">
        <v>1244</v>
      </c>
      <c r="I1343" s="752" t="s">
        <v>60</v>
      </c>
      <c r="J1343" s="751">
        <v>22</v>
      </c>
      <c r="K1343" s="751">
        <v>2</v>
      </c>
      <c r="L1343" s="752" t="s">
        <v>54</v>
      </c>
      <c r="M1343" s="752" t="s">
        <v>468</v>
      </c>
      <c r="N1343" s="752" t="s">
        <v>469</v>
      </c>
      <c r="O1343" s="752" t="s">
        <v>469</v>
      </c>
      <c r="P1343" s="752" t="s">
        <v>1238</v>
      </c>
      <c r="Q1343" s="753">
        <v>0</v>
      </c>
      <c r="R1343" s="753">
        <v>0</v>
      </c>
      <c r="S1343" s="753">
        <v>13933</v>
      </c>
      <c r="T1343" s="753">
        <v>13933</v>
      </c>
      <c r="U1343" s="753">
        <v>1565</v>
      </c>
      <c r="V1343" s="751">
        <v>2019</v>
      </c>
      <c r="W1343" s="222"/>
      <c r="X1343" s="186"/>
      <c r="Y1343" s="178" t="str">
        <f t="shared" si="69"/>
        <v/>
      </c>
      <c r="Z1343" s="178" t="str">
        <f t="shared" si="70"/>
        <v/>
      </c>
      <c r="AA1343" s="44"/>
      <c r="AB1343" s="65"/>
      <c r="AC1343" s="40"/>
    </row>
    <row r="1344" spans="1:29" hidden="1">
      <c r="A1344" s="751">
        <v>58650</v>
      </c>
      <c r="B1344" s="752" t="s">
        <v>35</v>
      </c>
      <c r="C1344" s="751" t="s">
        <v>2960</v>
      </c>
      <c r="D1344" s="752" t="s">
        <v>1790</v>
      </c>
      <c r="E1344" s="752" t="s">
        <v>1791</v>
      </c>
      <c r="F1344" s="751">
        <v>58598</v>
      </c>
      <c r="G1344" s="752" t="s">
        <v>83</v>
      </c>
      <c r="H1344" s="752" t="s">
        <v>1245</v>
      </c>
      <c r="I1344" s="752" t="s">
        <v>60</v>
      </c>
      <c r="J1344" s="751">
        <v>22</v>
      </c>
      <c r="K1344" s="751">
        <v>2</v>
      </c>
      <c r="L1344" s="752" t="s">
        <v>54</v>
      </c>
      <c r="M1344" s="752" t="s">
        <v>468</v>
      </c>
      <c r="N1344" s="752" t="s">
        <v>469</v>
      </c>
      <c r="O1344" s="752" t="s">
        <v>469</v>
      </c>
      <c r="P1344" s="752" t="s">
        <v>1238</v>
      </c>
      <c r="Q1344" s="753">
        <v>0</v>
      </c>
      <c r="R1344" s="753">
        <v>0</v>
      </c>
      <c r="S1344" s="753">
        <v>39399</v>
      </c>
      <c r="T1344" s="753">
        <v>39399</v>
      </c>
      <c r="U1344" s="753">
        <v>4425</v>
      </c>
      <c r="V1344" s="751">
        <v>2019</v>
      </c>
      <c r="W1344" s="222"/>
      <c r="X1344" s="186"/>
      <c r="Y1344" s="178" t="str">
        <f t="shared" si="69"/>
        <v/>
      </c>
      <c r="Z1344" s="178" t="str">
        <f t="shared" si="70"/>
        <v/>
      </c>
      <c r="AA1344" s="44"/>
      <c r="AB1344" s="65"/>
      <c r="AC1344" s="40"/>
    </row>
    <row r="1345" spans="1:29" ht="25" hidden="1">
      <c r="A1345" s="751">
        <v>58661</v>
      </c>
      <c r="B1345" s="752" t="s">
        <v>35</v>
      </c>
      <c r="C1345" s="751" t="s">
        <v>2960</v>
      </c>
      <c r="D1345" s="752" t="s">
        <v>1792</v>
      </c>
      <c r="E1345" s="752" t="s">
        <v>1793</v>
      </c>
      <c r="F1345" s="751">
        <v>58604</v>
      </c>
      <c r="G1345" s="752" t="s">
        <v>83</v>
      </c>
      <c r="H1345" s="752" t="s">
        <v>1245</v>
      </c>
      <c r="I1345" s="752" t="s">
        <v>60</v>
      </c>
      <c r="J1345" s="751">
        <v>928</v>
      </c>
      <c r="K1345" s="751">
        <v>4</v>
      </c>
      <c r="L1345" s="752" t="s">
        <v>422</v>
      </c>
      <c r="M1345" s="752" t="s">
        <v>73</v>
      </c>
      <c r="N1345" s="752" t="s">
        <v>74</v>
      </c>
      <c r="O1345" s="752" t="s">
        <v>74</v>
      </c>
      <c r="P1345" s="752" t="s">
        <v>1238</v>
      </c>
      <c r="Q1345" s="753">
        <v>0</v>
      </c>
      <c r="R1345" s="753">
        <v>0</v>
      </c>
      <c r="S1345" s="753">
        <v>56301</v>
      </c>
      <c r="T1345" s="753">
        <v>56301</v>
      </c>
      <c r="U1345" s="753">
        <v>6315</v>
      </c>
      <c r="V1345" s="751">
        <v>2019</v>
      </c>
      <c r="W1345" s="222"/>
      <c r="X1345" s="186"/>
      <c r="Y1345" s="178" t="str">
        <f t="shared" si="69"/>
        <v/>
      </c>
      <c r="Z1345" s="178" t="str">
        <f t="shared" si="70"/>
        <v/>
      </c>
      <c r="AA1345" s="44"/>
      <c r="AB1345" s="65"/>
      <c r="AC1345" s="40"/>
    </row>
    <row r="1346" spans="1:29" ht="25" hidden="1">
      <c r="A1346" s="751">
        <v>58664</v>
      </c>
      <c r="B1346" s="752" t="s">
        <v>35</v>
      </c>
      <c r="C1346" s="751" t="s">
        <v>2960</v>
      </c>
      <c r="D1346" s="752" t="s">
        <v>1699</v>
      </c>
      <c r="E1346" s="752" t="s">
        <v>1700</v>
      </c>
      <c r="F1346" s="751">
        <v>58607</v>
      </c>
      <c r="G1346" s="752" t="s">
        <v>43</v>
      </c>
      <c r="H1346" s="752" t="s">
        <v>1245</v>
      </c>
      <c r="I1346" s="752" t="s">
        <v>60</v>
      </c>
      <c r="J1346" s="751">
        <v>311</v>
      </c>
      <c r="K1346" s="751">
        <v>6</v>
      </c>
      <c r="L1346" s="752" t="s">
        <v>420</v>
      </c>
      <c r="M1346" s="752" t="s">
        <v>52</v>
      </c>
      <c r="N1346" s="752" t="s">
        <v>41</v>
      </c>
      <c r="O1346" s="752" t="s">
        <v>41</v>
      </c>
      <c r="P1346" s="752" t="s">
        <v>1091</v>
      </c>
      <c r="Q1346" s="753">
        <v>348561</v>
      </c>
      <c r="R1346" s="753">
        <v>348561</v>
      </c>
      <c r="S1346" s="753">
        <v>356579</v>
      </c>
      <c r="T1346" s="753">
        <v>356579</v>
      </c>
      <c r="U1346" s="753">
        <v>24566.66</v>
      </c>
      <c r="V1346" s="751">
        <v>2019</v>
      </c>
      <c r="W1346" s="222"/>
      <c r="X1346" s="186"/>
      <c r="Y1346" s="178" t="str">
        <f t="shared" si="69"/>
        <v/>
      </c>
      <c r="Z1346" s="178" t="str">
        <f t="shared" si="70"/>
        <v/>
      </c>
      <c r="AA1346" s="44"/>
      <c r="AB1346" s="65"/>
      <c r="AC1346" s="40"/>
    </row>
    <row r="1347" spans="1:29" hidden="1">
      <c r="A1347" s="751">
        <v>58678</v>
      </c>
      <c r="B1347" s="752" t="s">
        <v>35</v>
      </c>
      <c r="C1347" s="751" t="s">
        <v>2960</v>
      </c>
      <c r="D1347" s="752" t="s">
        <v>1701</v>
      </c>
      <c r="E1347" s="752" t="s">
        <v>123</v>
      </c>
      <c r="F1347" s="751">
        <v>5914</v>
      </c>
      <c r="G1347" s="752" t="s">
        <v>59</v>
      </c>
      <c r="H1347" s="752" t="s">
        <v>1244</v>
      </c>
      <c r="I1347" s="752" t="s">
        <v>60</v>
      </c>
      <c r="J1347" s="751">
        <v>22</v>
      </c>
      <c r="K1347" s="751">
        <v>2</v>
      </c>
      <c r="L1347" s="752" t="s">
        <v>54</v>
      </c>
      <c r="M1347" s="752" t="s">
        <v>37</v>
      </c>
      <c r="N1347" s="752" t="s">
        <v>38</v>
      </c>
      <c r="O1347" s="752" t="s">
        <v>39</v>
      </c>
      <c r="P1347" s="752" t="s">
        <v>1238</v>
      </c>
      <c r="Q1347" s="753">
        <v>0</v>
      </c>
      <c r="R1347" s="753">
        <v>0</v>
      </c>
      <c r="S1347" s="753">
        <v>70582</v>
      </c>
      <c r="T1347" s="753">
        <v>70582</v>
      </c>
      <c r="U1347" s="753">
        <v>7927</v>
      </c>
      <c r="V1347" s="751">
        <v>2019</v>
      </c>
      <c r="W1347" s="222"/>
      <c r="X1347" s="186"/>
      <c r="Y1347" s="86" t="str">
        <f t="shared" si="69"/>
        <v/>
      </c>
      <c r="Z1347" s="86" t="str">
        <f t="shared" si="70"/>
        <v/>
      </c>
      <c r="AA1347" s="44"/>
      <c r="AB1347" s="65"/>
      <c r="AC1347" s="40"/>
    </row>
    <row r="1348" spans="1:29" hidden="1">
      <c r="A1348" s="751">
        <v>58679</v>
      </c>
      <c r="B1348" s="752" t="s">
        <v>35</v>
      </c>
      <c r="C1348" s="751" t="s">
        <v>2960</v>
      </c>
      <c r="D1348" s="752" t="s">
        <v>1702</v>
      </c>
      <c r="E1348" s="752" t="s">
        <v>123</v>
      </c>
      <c r="F1348" s="751">
        <v>5914</v>
      </c>
      <c r="G1348" s="752" t="s">
        <v>59</v>
      </c>
      <c r="H1348" s="752" t="s">
        <v>1244</v>
      </c>
      <c r="I1348" s="752" t="s">
        <v>60</v>
      </c>
      <c r="J1348" s="751">
        <v>22</v>
      </c>
      <c r="K1348" s="751">
        <v>2</v>
      </c>
      <c r="L1348" s="752" t="s">
        <v>54</v>
      </c>
      <c r="M1348" s="752" t="s">
        <v>37</v>
      </c>
      <c r="N1348" s="752" t="s">
        <v>38</v>
      </c>
      <c r="O1348" s="752" t="s">
        <v>39</v>
      </c>
      <c r="P1348" s="752" t="s">
        <v>1238</v>
      </c>
      <c r="Q1348" s="753">
        <v>0</v>
      </c>
      <c r="R1348" s="753">
        <v>0</v>
      </c>
      <c r="S1348" s="753">
        <v>72087</v>
      </c>
      <c r="T1348" s="753">
        <v>72087</v>
      </c>
      <c r="U1348" s="753">
        <v>8096</v>
      </c>
      <c r="V1348" s="751">
        <v>2019</v>
      </c>
      <c r="W1348" s="222"/>
      <c r="X1348" s="186"/>
      <c r="Y1348" s="86" t="str">
        <f t="shared" si="69"/>
        <v/>
      </c>
      <c r="Z1348" s="86" t="str">
        <f t="shared" si="70"/>
        <v/>
      </c>
      <c r="AA1348" s="44"/>
      <c r="AB1348" s="65"/>
      <c r="AC1348" s="40"/>
    </row>
    <row r="1349" spans="1:29" hidden="1">
      <c r="A1349" s="751">
        <v>58680</v>
      </c>
      <c r="B1349" s="752" t="s">
        <v>35</v>
      </c>
      <c r="C1349" s="751" t="s">
        <v>2960</v>
      </c>
      <c r="D1349" s="752" t="s">
        <v>1956</v>
      </c>
      <c r="E1349" s="752" t="s">
        <v>1791</v>
      </c>
      <c r="F1349" s="751">
        <v>58598</v>
      </c>
      <c r="G1349" s="752" t="s">
        <v>83</v>
      </c>
      <c r="H1349" s="752" t="s">
        <v>1245</v>
      </c>
      <c r="I1349" s="752" t="s">
        <v>60</v>
      </c>
      <c r="J1349" s="751">
        <v>22</v>
      </c>
      <c r="K1349" s="751">
        <v>2</v>
      </c>
      <c r="L1349" s="752" t="s">
        <v>54</v>
      </c>
      <c r="M1349" s="752" t="s">
        <v>468</v>
      </c>
      <c r="N1349" s="752" t="s">
        <v>469</v>
      </c>
      <c r="O1349" s="752" t="s">
        <v>469</v>
      </c>
      <c r="P1349" s="752" t="s">
        <v>1238</v>
      </c>
      <c r="Q1349" s="753">
        <v>0</v>
      </c>
      <c r="R1349" s="753">
        <v>0</v>
      </c>
      <c r="S1349" s="753">
        <v>39250</v>
      </c>
      <c r="T1349" s="753">
        <v>39250</v>
      </c>
      <c r="U1349" s="753">
        <v>4408</v>
      </c>
      <c r="V1349" s="751">
        <v>2019</v>
      </c>
      <c r="W1349" s="222"/>
      <c r="X1349" s="186"/>
      <c r="Y1349" s="86" t="str">
        <f t="shared" si="69"/>
        <v/>
      </c>
      <c r="Z1349" s="86" t="str">
        <f t="shared" si="70"/>
        <v/>
      </c>
      <c r="AA1349" s="44"/>
      <c r="AB1349" s="65"/>
      <c r="AC1349" s="40"/>
    </row>
    <row r="1350" spans="1:29" hidden="1">
      <c r="A1350" s="751">
        <v>58682</v>
      </c>
      <c r="B1350" s="752" t="s">
        <v>35</v>
      </c>
      <c r="C1350" s="751" t="s">
        <v>2960</v>
      </c>
      <c r="D1350" s="752" t="s">
        <v>1794</v>
      </c>
      <c r="E1350" s="752" t="s">
        <v>1791</v>
      </c>
      <c r="F1350" s="751">
        <v>58598</v>
      </c>
      <c r="G1350" s="752" t="s">
        <v>83</v>
      </c>
      <c r="H1350" s="752" t="s">
        <v>1245</v>
      </c>
      <c r="I1350" s="752" t="s">
        <v>60</v>
      </c>
      <c r="J1350" s="751">
        <v>22</v>
      </c>
      <c r="K1350" s="751">
        <v>2</v>
      </c>
      <c r="L1350" s="752" t="s">
        <v>54</v>
      </c>
      <c r="M1350" s="752" t="s">
        <v>468</v>
      </c>
      <c r="N1350" s="752" t="s">
        <v>469</v>
      </c>
      <c r="O1350" s="752" t="s">
        <v>469</v>
      </c>
      <c r="P1350" s="752" t="s">
        <v>1238</v>
      </c>
      <c r="Q1350" s="753">
        <v>0</v>
      </c>
      <c r="R1350" s="753">
        <v>0</v>
      </c>
      <c r="S1350" s="753">
        <v>79798</v>
      </c>
      <c r="T1350" s="753">
        <v>79798</v>
      </c>
      <c r="U1350" s="753">
        <v>8962</v>
      </c>
      <c r="V1350" s="751">
        <v>2019</v>
      </c>
      <c r="W1350" s="222"/>
      <c r="X1350" s="186"/>
      <c r="Y1350" s="86" t="str">
        <f t="shared" si="69"/>
        <v/>
      </c>
      <c r="Z1350" s="86" t="str">
        <f t="shared" si="70"/>
        <v/>
      </c>
      <c r="AA1350" s="44"/>
      <c r="AB1350" s="65"/>
      <c r="AC1350" s="40"/>
    </row>
    <row r="1351" spans="1:29" hidden="1">
      <c r="A1351" s="751">
        <v>58686</v>
      </c>
      <c r="B1351" s="752" t="s">
        <v>35</v>
      </c>
      <c r="C1351" s="751" t="s">
        <v>2960</v>
      </c>
      <c r="D1351" s="752" t="s">
        <v>2041</v>
      </c>
      <c r="E1351" s="752" t="s">
        <v>2031</v>
      </c>
      <c r="F1351" s="751">
        <v>60453</v>
      </c>
      <c r="G1351" s="752" t="s">
        <v>92</v>
      </c>
      <c r="H1351" s="752" t="s">
        <v>1245</v>
      </c>
      <c r="I1351" s="752" t="s">
        <v>60</v>
      </c>
      <c r="J1351" s="751">
        <v>22</v>
      </c>
      <c r="K1351" s="751">
        <v>2</v>
      </c>
      <c r="L1351" s="752" t="s">
        <v>54</v>
      </c>
      <c r="M1351" s="752" t="s">
        <v>73</v>
      </c>
      <c r="N1351" s="752" t="s">
        <v>74</v>
      </c>
      <c r="O1351" s="752" t="s">
        <v>74</v>
      </c>
      <c r="P1351" s="752" t="s">
        <v>1238</v>
      </c>
      <c r="Q1351" s="753">
        <v>0</v>
      </c>
      <c r="R1351" s="753">
        <v>0</v>
      </c>
      <c r="S1351" s="753">
        <v>1298130</v>
      </c>
      <c r="T1351" s="753">
        <v>1298130</v>
      </c>
      <c r="U1351" s="753">
        <v>145792</v>
      </c>
      <c r="V1351" s="751">
        <v>2019</v>
      </c>
      <c r="W1351" s="222"/>
      <c r="X1351" s="186"/>
      <c r="Y1351" s="178" t="str">
        <f t="shared" ref="Y1351:Y1414" si="72">IF(AND($M1351=$Y$2,$N1351=$Y$3,NOT($Q1351=$R1351),NOT($U1351=0)),IF($K1351=5,$S1351/($U1351+(8/5)*$U1351),IF($K1351=7,$S1351/($U1351+(29/25)*$U1351),"")),"")</f>
        <v/>
      </c>
      <c r="Z1351" s="178" t="str">
        <f t="shared" ref="Z1351:Z1414" si="73">IF(AND($M1351=$Y$2,$N1351=$Y$4,NOT($Q1351=$R1351),NOT($U1351=0)),IF($K1351=5,$S1351/($U1351+(8/5)*$U1351),IF($K1351=7,$S1351/($U1351+(29/25)*$U1351),"")),"")</f>
        <v/>
      </c>
      <c r="AA1351" s="44"/>
      <c r="AB1351" s="65"/>
      <c r="AC1351" s="40"/>
    </row>
    <row r="1352" spans="1:29" hidden="1">
      <c r="A1352" s="751">
        <v>58702</v>
      </c>
      <c r="B1352" s="752" t="s">
        <v>35</v>
      </c>
      <c r="C1352" s="751" t="s">
        <v>2960</v>
      </c>
      <c r="D1352" s="752" t="s">
        <v>1703</v>
      </c>
      <c r="E1352" s="752" t="s">
        <v>1703</v>
      </c>
      <c r="F1352" s="751">
        <v>58639</v>
      </c>
      <c r="G1352" s="752" t="s">
        <v>83</v>
      </c>
      <c r="H1352" s="752" t="s">
        <v>1245</v>
      </c>
      <c r="I1352" s="752" t="s">
        <v>60</v>
      </c>
      <c r="J1352" s="751">
        <v>22</v>
      </c>
      <c r="K1352" s="751">
        <v>2</v>
      </c>
      <c r="L1352" s="752" t="s">
        <v>54</v>
      </c>
      <c r="M1352" s="752" t="s">
        <v>468</v>
      </c>
      <c r="N1352" s="752" t="s">
        <v>469</v>
      </c>
      <c r="O1352" s="752" t="s">
        <v>469</v>
      </c>
      <c r="P1352" s="752" t="s">
        <v>1238</v>
      </c>
      <c r="Q1352" s="753">
        <v>0</v>
      </c>
      <c r="R1352" s="753">
        <v>0</v>
      </c>
      <c r="S1352" s="753">
        <v>20719</v>
      </c>
      <c r="T1352" s="753">
        <v>20719</v>
      </c>
      <c r="U1352" s="753">
        <v>2327</v>
      </c>
      <c r="V1352" s="751">
        <v>2019</v>
      </c>
      <c r="W1352" s="222"/>
      <c r="X1352" s="186"/>
      <c r="Y1352" s="178" t="str">
        <f t="shared" si="72"/>
        <v/>
      </c>
      <c r="Z1352" s="178" t="str">
        <f t="shared" si="73"/>
        <v/>
      </c>
      <c r="AA1352" s="44"/>
      <c r="AB1352" s="65"/>
      <c r="AC1352" s="40"/>
    </row>
    <row r="1353" spans="1:29" hidden="1">
      <c r="A1353" s="751">
        <v>58749</v>
      </c>
      <c r="B1353" s="752" t="s">
        <v>35</v>
      </c>
      <c r="C1353" s="751" t="s">
        <v>2960</v>
      </c>
      <c r="D1353" s="752" t="s">
        <v>1795</v>
      </c>
      <c r="E1353" s="752" t="s">
        <v>1285</v>
      </c>
      <c r="F1353" s="751">
        <v>57365</v>
      </c>
      <c r="G1353" s="752" t="s">
        <v>83</v>
      </c>
      <c r="H1353" s="752" t="s">
        <v>1245</v>
      </c>
      <c r="I1353" s="752" t="s">
        <v>60</v>
      </c>
      <c r="J1353" s="751">
        <v>22</v>
      </c>
      <c r="K1353" s="751">
        <v>2</v>
      </c>
      <c r="L1353" s="752" t="s">
        <v>54</v>
      </c>
      <c r="M1353" s="752" t="s">
        <v>468</v>
      </c>
      <c r="N1353" s="752" t="s">
        <v>469</v>
      </c>
      <c r="O1353" s="752" t="s">
        <v>469</v>
      </c>
      <c r="P1353" s="752" t="s">
        <v>1238</v>
      </c>
      <c r="Q1353" s="753">
        <v>0</v>
      </c>
      <c r="R1353" s="753">
        <v>0</v>
      </c>
      <c r="S1353" s="753">
        <v>15841</v>
      </c>
      <c r="T1353" s="753">
        <v>15841</v>
      </c>
      <c r="U1353" s="753">
        <v>1779</v>
      </c>
      <c r="V1353" s="751">
        <v>2019</v>
      </c>
      <c r="W1353" s="222"/>
      <c r="X1353" s="186"/>
      <c r="Y1353" s="178" t="str">
        <f t="shared" si="72"/>
        <v/>
      </c>
      <c r="Z1353" s="178" t="str">
        <f t="shared" si="73"/>
        <v/>
      </c>
      <c r="AA1353" s="44"/>
      <c r="AB1353" s="65"/>
      <c r="AC1353" s="40"/>
    </row>
    <row r="1354" spans="1:29" hidden="1">
      <c r="A1354" s="751">
        <v>58768</v>
      </c>
      <c r="B1354" s="752" t="s">
        <v>35</v>
      </c>
      <c r="C1354" s="751" t="s">
        <v>2960</v>
      </c>
      <c r="D1354" s="752" t="s">
        <v>1796</v>
      </c>
      <c r="E1354" s="752" t="s">
        <v>467</v>
      </c>
      <c r="F1354" s="751">
        <v>49893</v>
      </c>
      <c r="G1354" s="752" t="s">
        <v>59</v>
      </c>
      <c r="H1354" s="752" t="s">
        <v>1244</v>
      </c>
      <c r="I1354" s="752" t="s">
        <v>60</v>
      </c>
      <c r="J1354" s="751">
        <v>22</v>
      </c>
      <c r="K1354" s="751">
        <v>2</v>
      </c>
      <c r="L1354" s="752" t="s">
        <v>54</v>
      </c>
      <c r="M1354" s="752" t="s">
        <v>73</v>
      </c>
      <c r="N1354" s="752" t="s">
        <v>74</v>
      </c>
      <c r="O1354" s="752" t="s">
        <v>74</v>
      </c>
      <c r="P1354" s="752" t="s">
        <v>1238</v>
      </c>
      <c r="Q1354" s="753">
        <v>0</v>
      </c>
      <c r="R1354" s="753">
        <v>0</v>
      </c>
      <c r="S1354" s="753">
        <v>448388</v>
      </c>
      <c r="T1354" s="753">
        <v>448388</v>
      </c>
      <c r="U1354" s="753">
        <v>50358</v>
      </c>
      <c r="V1354" s="751">
        <v>2019</v>
      </c>
      <c r="W1354" s="222"/>
      <c r="X1354" s="186"/>
      <c r="Y1354" s="178" t="str">
        <f t="shared" si="72"/>
        <v/>
      </c>
      <c r="Z1354" s="178" t="str">
        <f t="shared" si="73"/>
        <v/>
      </c>
      <c r="AA1354" s="44"/>
      <c r="AB1354" s="65"/>
      <c r="AC1354" s="40"/>
    </row>
    <row r="1355" spans="1:29" hidden="1">
      <c r="A1355" s="751">
        <v>58785</v>
      </c>
      <c r="B1355" s="752" t="s">
        <v>35</v>
      </c>
      <c r="C1355" s="751" t="s">
        <v>2960</v>
      </c>
      <c r="D1355" s="752" t="s">
        <v>1704</v>
      </c>
      <c r="E1355" s="752" t="s">
        <v>1705</v>
      </c>
      <c r="F1355" s="751">
        <v>58677</v>
      </c>
      <c r="G1355" s="752" t="s">
        <v>59</v>
      </c>
      <c r="H1355" s="752" t="s">
        <v>1244</v>
      </c>
      <c r="I1355" s="752" t="s">
        <v>60</v>
      </c>
      <c r="J1355" s="751">
        <v>22</v>
      </c>
      <c r="K1355" s="751">
        <v>2</v>
      </c>
      <c r="L1355" s="752" t="s">
        <v>54</v>
      </c>
      <c r="M1355" s="752" t="s">
        <v>468</v>
      </c>
      <c r="N1355" s="752" t="s">
        <v>469</v>
      </c>
      <c r="O1355" s="752" t="s">
        <v>469</v>
      </c>
      <c r="P1355" s="752" t="s">
        <v>1238</v>
      </c>
      <c r="Q1355" s="753">
        <v>0</v>
      </c>
      <c r="R1355" s="753">
        <v>0</v>
      </c>
      <c r="S1355" s="753">
        <v>6687</v>
      </c>
      <c r="T1355" s="753">
        <v>6687</v>
      </c>
      <c r="U1355" s="753">
        <v>751</v>
      </c>
      <c r="V1355" s="751">
        <v>2019</v>
      </c>
      <c r="W1355" s="222"/>
      <c r="X1355" s="186"/>
      <c r="Y1355" s="178" t="str">
        <f t="shared" si="72"/>
        <v/>
      </c>
      <c r="Z1355" s="178" t="str">
        <f t="shared" si="73"/>
        <v/>
      </c>
      <c r="AA1355" s="44"/>
      <c r="AB1355" s="65"/>
      <c r="AC1355" s="40"/>
    </row>
    <row r="1356" spans="1:29" hidden="1">
      <c r="A1356" s="751">
        <v>58786</v>
      </c>
      <c r="B1356" s="752" t="s">
        <v>35</v>
      </c>
      <c r="C1356" s="751" t="s">
        <v>2960</v>
      </c>
      <c r="D1356" s="752" t="s">
        <v>1706</v>
      </c>
      <c r="E1356" s="752" t="s">
        <v>1705</v>
      </c>
      <c r="F1356" s="751">
        <v>58677</v>
      </c>
      <c r="G1356" s="752" t="s">
        <v>59</v>
      </c>
      <c r="H1356" s="752" t="s">
        <v>1244</v>
      </c>
      <c r="I1356" s="752" t="s">
        <v>60</v>
      </c>
      <c r="J1356" s="751">
        <v>22</v>
      </c>
      <c r="K1356" s="751">
        <v>2</v>
      </c>
      <c r="L1356" s="752" t="s">
        <v>54</v>
      </c>
      <c r="M1356" s="752" t="s">
        <v>468</v>
      </c>
      <c r="N1356" s="752" t="s">
        <v>469</v>
      </c>
      <c r="O1356" s="752" t="s">
        <v>469</v>
      </c>
      <c r="P1356" s="752" t="s">
        <v>1238</v>
      </c>
      <c r="Q1356" s="753">
        <v>0</v>
      </c>
      <c r="R1356" s="753">
        <v>0</v>
      </c>
      <c r="S1356" s="753">
        <v>29302</v>
      </c>
      <c r="T1356" s="753">
        <v>29302</v>
      </c>
      <c r="U1356" s="753">
        <v>3291</v>
      </c>
      <c r="V1356" s="751">
        <v>2019</v>
      </c>
      <c r="W1356" s="222"/>
      <c r="X1356" s="186"/>
      <c r="Y1356" s="178" t="str">
        <f t="shared" si="72"/>
        <v/>
      </c>
      <c r="Z1356" s="178" t="str">
        <f t="shared" si="73"/>
        <v/>
      </c>
      <c r="AA1356" s="44"/>
      <c r="AB1356" s="65"/>
      <c r="AC1356" s="40"/>
    </row>
    <row r="1357" spans="1:29" hidden="1">
      <c r="A1357" s="751">
        <v>58787</v>
      </c>
      <c r="B1357" s="752" t="s">
        <v>35</v>
      </c>
      <c r="C1357" s="751" t="s">
        <v>2960</v>
      </c>
      <c r="D1357" s="752" t="s">
        <v>1707</v>
      </c>
      <c r="E1357" s="752" t="s">
        <v>1705</v>
      </c>
      <c r="F1357" s="751">
        <v>58677</v>
      </c>
      <c r="G1357" s="752" t="s">
        <v>59</v>
      </c>
      <c r="H1357" s="752" t="s">
        <v>1244</v>
      </c>
      <c r="I1357" s="752" t="s">
        <v>60</v>
      </c>
      <c r="J1357" s="751">
        <v>22</v>
      </c>
      <c r="K1357" s="751">
        <v>2</v>
      </c>
      <c r="L1357" s="752" t="s">
        <v>54</v>
      </c>
      <c r="M1357" s="752" t="s">
        <v>468</v>
      </c>
      <c r="N1357" s="752" t="s">
        <v>469</v>
      </c>
      <c r="O1357" s="752" t="s">
        <v>469</v>
      </c>
      <c r="P1357" s="752" t="s">
        <v>1238</v>
      </c>
      <c r="Q1357" s="753">
        <v>0</v>
      </c>
      <c r="R1357" s="753">
        <v>0</v>
      </c>
      <c r="S1357" s="753">
        <v>19938</v>
      </c>
      <c r="T1357" s="753">
        <v>19938</v>
      </c>
      <c r="U1357" s="753">
        <v>2239</v>
      </c>
      <c r="V1357" s="751">
        <v>2019</v>
      </c>
      <c r="W1357" s="222"/>
      <c r="X1357" s="186"/>
      <c r="Y1357" s="178" t="str">
        <f t="shared" si="72"/>
        <v/>
      </c>
      <c r="Z1357" s="178" t="str">
        <f t="shared" si="73"/>
        <v/>
      </c>
      <c r="AA1357" s="44"/>
      <c r="AB1357" s="65"/>
      <c r="AC1357" s="40"/>
    </row>
    <row r="1358" spans="1:29" hidden="1">
      <c r="A1358" s="751">
        <v>58788</v>
      </c>
      <c r="B1358" s="752" t="s">
        <v>35</v>
      </c>
      <c r="C1358" s="751" t="s">
        <v>2960</v>
      </c>
      <c r="D1358" s="752" t="s">
        <v>1708</v>
      </c>
      <c r="E1358" s="752" t="s">
        <v>1705</v>
      </c>
      <c r="F1358" s="751">
        <v>58677</v>
      </c>
      <c r="G1358" s="752" t="s">
        <v>59</v>
      </c>
      <c r="H1358" s="752" t="s">
        <v>1244</v>
      </c>
      <c r="I1358" s="752" t="s">
        <v>60</v>
      </c>
      <c r="J1358" s="751">
        <v>22</v>
      </c>
      <c r="K1358" s="751">
        <v>2</v>
      </c>
      <c r="L1358" s="752" t="s">
        <v>54</v>
      </c>
      <c r="M1358" s="752" t="s">
        <v>468</v>
      </c>
      <c r="N1358" s="752" t="s">
        <v>469</v>
      </c>
      <c r="O1358" s="752" t="s">
        <v>469</v>
      </c>
      <c r="P1358" s="752" t="s">
        <v>1238</v>
      </c>
      <c r="Q1358" s="753">
        <v>0</v>
      </c>
      <c r="R1358" s="753">
        <v>0</v>
      </c>
      <c r="S1358" s="753">
        <v>11148</v>
      </c>
      <c r="T1358" s="753">
        <v>11148</v>
      </c>
      <c r="U1358" s="753">
        <v>1252</v>
      </c>
      <c r="V1358" s="751">
        <v>2019</v>
      </c>
      <c r="W1358" s="222"/>
      <c r="X1358" s="186"/>
      <c r="Y1358" s="178" t="str">
        <f t="shared" si="72"/>
        <v/>
      </c>
      <c r="Z1358" s="178" t="str">
        <f t="shared" si="73"/>
        <v/>
      </c>
      <c r="AA1358" s="44"/>
      <c r="AB1358" s="65"/>
      <c r="AC1358" s="40"/>
    </row>
    <row r="1359" spans="1:29" hidden="1">
      <c r="A1359" s="751">
        <v>58789</v>
      </c>
      <c r="B1359" s="752" t="s">
        <v>35</v>
      </c>
      <c r="C1359" s="751" t="s">
        <v>2960</v>
      </c>
      <c r="D1359" s="752" t="s">
        <v>1709</v>
      </c>
      <c r="E1359" s="752" t="s">
        <v>1705</v>
      </c>
      <c r="F1359" s="751">
        <v>58677</v>
      </c>
      <c r="G1359" s="752" t="s">
        <v>59</v>
      </c>
      <c r="H1359" s="752" t="s">
        <v>1244</v>
      </c>
      <c r="I1359" s="752" t="s">
        <v>60</v>
      </c>
      <c r="J1359" s="751">
        <v>22</v>
      </c>
      <c r="K1359" s="751">
        <v>2</v>
      </c>
      <c r="L1359" s="752" t="s">
        <v>54</v>
      </c>
      <c r="M1359" s="752" t="s">
        <v>468</v>
      </c>
      <c r="N1359" s="752" t="s">
        <v>469</v>
      </c>
      <c r="O1359" s="752" t="s">
        <v>469</v>
      </c>
      <c r="P1359" s="752" t="s">
        <v>1238</v>
      </c>
      <c r="Q1359" s="753">
        <v>0</v>
      </c>
      <c r="R1359" s="753">
        <v>0</v>
      </c>
      <c r="S1359" s="753">
        <v>14585</v>
      </c>
      <c r="T1359" s="753">
        <v>14585</v>
      </c>
      <c r="U1359" s="753">
        <v>1638</v>
      </c>
      <c r="V1359" s="751">
        <v>2019</v>
      </c>
      <c r="W1359" s="222"/>
      <c r="X1359" s="186"/>
      <c r="Y1359" s="178" t="str">
        <f t="shared" si="72"/>
        <v/>
      </c>
      <c r="Z1359" s="178" t="str">
        <f t="shared" si="73"/>
        <v/>
      </c>
      <c r="AA1359" s="44"/>
      <c r="AB1359" s="65"/>
      <c r="AC1359" s="40"/>
    </row>
    <row r="1360" spans="1:29" hidden="1">
      <c r="A1360" s="751">
        <v>58790</v>
      </c>
      <c r="B1360" s="752" t="s">
        <v>35</v>
      </c>
      <c r="C1360" s="751" t="s">
        <v>2960</v>
      </c>
      <c r="D1360" s="752" t="s">
        <v>1710</v>
      </c>
      <c r="E1360" s="752" t="s">
        <v>1705</v>
      </c>
      <c r="F1360" s="751">
        <v>58677</v>
      </c>
      <c r="G1360" s="752" t="s">
        <v>59</v>
      </c>
      <c r="H1360" s="752" t="s">
        <v>1244</v>
      </c>
      <c r="I1360" s="752" t="s">
        <v>60</v>
      </c>
      <c r="J1360" s="751">
        <v>22</v>
      </c>
      <c r="K1360" s="751">
        <v>2</v>
      </c>
      <c r="L1360" s="752" t="s">
        <v>54</v>
      </c>
      <c r="M1360" s="752" t="s">
        <v>468</v>
      </c>
      <c r="N1360" s="752" t="s">
        <v>469</v>
      </c>
      <c r="O1360" s="752" t="s">
        <v>469</v>
      </c>
      <c r="P1360" s="752" t="s">
        <v>1238</v>
      </c>
      <c r="Q1360" s="753">
        <v>0</v>
      </c>
      <c r="R1360" s="753">
        <v>0</v>
      </c>
      <c r="S1360" s="753">
        <v>36141</v>
      </c>
      <c r="T1360" s="753">
        <v>36141</v>
      </c>
      <c r="U1360" s="753">
        <v>4059</v>
      </c>
      <c r="V1360" s="751">
        <v>2019</v>
      </c>
      <c r="W1360" s="222"/>
      <c r="X1360" s="186"/>
      <c r="Y1360" s="178" t="str">
        <f t="shared" si="72"/>
        <v/>
      </c>
      <c r="Z1360" s="178" t="str">
        <f t="shared" si="73"/>
        <v/>
      </c>
      <c r="AA1360" s="44"/>
      <c r="AB1360" s="65"/>
      <c r="AC1360" s="40"/>
    </row>
    <row r="1361" spans="1:29" ht="25" hidden="1">
      <c r="A1361" s="751">
        <v>58815</v>
      </c>
      <c r="B1361" s="752" t="s">
        <v>56</v>
      </c>
      <c r="C1361" s="751" t="s">
        <v>2960</v>
      </c>
      <c r="D1361" s="752" t="s">
        <v>1711</v>
      </c>
      <c r="E1361" s="752" t="s">
        <v>2262</v>
      </c>
      <c r="F1361" s="751">
        <v>61484</v>
      </c>
      <c r="G1361" s="752" t="s">
        <v>59</v>
      </c>
      <c r="H1361" s="752" t="s">
        <v>1244</v>
      </c>
      <c r="I1361" s="752" t="s">
        <v>60</v>
      </c>
      <c r="J1361" s="751">
        <v>22</v>
      </c>
      <c r="K1361" s="751">
        <v>3</v>
      </c>
      <c r="L1361" s="752" t="s">
        <v>57</v>
      </c>
      <c r="M1361" s="752" t="s">
        <v>53</v>
      </c>
      <c r="N1361" s="752" t="s">
        <v>41</v>
      </c>
      <c r="O1361" s="752" t="s">
        <v>41</v>
      </c>
      <c r="P1361" s="752" t="s">
        <v>1091</v>
      </c>
      <c r="Q1361" s="753">
        <v>122654</v>
      </c>
      <c r="R1361" s="753">
        <v>78744</v>
      </c>
      <c r="S1361" s="753">
        <v>122654</v>
      </c>
      <c r="T1361" s="753">
        <v>78744</v>
      </c>
      <c r="U1361" s="753">
        <v>10403.68</v>
      </c>
      <c r="V1361" s="751">
        <v>2019</v>
      </c>
      <c r="W1361" s="222"/>
      <c r="X1361" s="186"/>
      <c r="Y1361" s="178" t="str">
        <f t="shared" si="72"/>
        <v/>
      </c>
      <c r="Z1361" s="178" t="str">
        <f t="shared" si="73"/>
        <v/>
      </c>
      <c r="AA1361" s="44"/>
      <c r="AB1361" s="65"/>
      <c r="AC1361" s="40"/>
    </row>
    <row r="1362" spans="1:29" hidden="1">
      <c r="A1362" s="751">
        <v>58824</v>
      </c>
      <c r="B1362" s="752" t="s">
        <v>35</v>
      </c>
      <c r="C1362" s="751" t="s">
        <v>2960</v>
      </c>
      <c r="D1362" s="752" t="s">
        <v>1712</v>
      </c>
      <c r="E1362" s="752" t="s">
        <v>1797</v>
      </c>
      <c r="F1362" s="751">
        <v>59380</v>
      </c>
      <c r="G1362" s="752" t="s">
        <v>91</v>
      </c>
      <c r="H1362" s="752" t="s">
        <v>1245</v>
      </c>
      <c r="I1362" s="752" t="s">
        <v>60</v>
      </c>
      <c r="J1362" s="751">
        <v>22</v>
      </c>
      <c r="K1362" s="751">
        <v>2</v>
      </c>
      <c r="L1362" s="752" t="s">
        <v>54</v>
      </c>
      <c r="M1362" s="752" t="s">
        <v>468</v>
      </c>
      <c r="N1362" s="752" t="s">
        <v>469</v>
      </c>
      <c r="O1362" s="752" t="s">
        <v>469</v>
      </c>
      <c r="P1362" s="752" t="s">
        <v>1238</v>
      </c>
      <c r="Q1362" s="753">
        <v>0</v>
      </c>
      <c r="R1362" s="753">
        <v>0</v>
      </c>
      <c r="S1362" s="753">
        <v>14345</v>
      </c>
      <c r="T1362" s="753">
        <v>14345</v>
      </c>
      <c r="U1362" s="753">
        <v>1611</v>
      </c>
      <c r="V1362" s="751">
        <v>2019</v>
      </c>
      <c r="W1362" s="222"/>
      <c r="X1362" s="186"/>
      <c r="Y1362" s="178" t="str">
        <f t="shared" si="72"/>
        <v/>
      </c>
      <c r="Z1362" s="178" t="str">
        <f t="shared" si="73"/>
        <v/>
      </c>
      <c r="AA1362" s="44"/>
      <c r="AB1362" s="65"/>
      <c r="AC1362" s="40"/>
    </row>
    <row r="1363" spans="1:29" hidden="1">
      <c r="A1363" s="751">
        <v>58839</v>
      </c>
      <c r="B1363" s="752" t="s">
        <v>35</v>
      </c>
      <c r="C1363" s="751" t="s">
        <v>2960</v>
      </c>
      <c r="D1363" s="752" t="s">
        <v>1713</v>
      </c>
      <c r="E1363" s="752" t="s">
        <v>1714</v>
      </c>
      <c r="F1363" s="751">
        <v>58721</v>
      </c>
      <c r="G1363" s="752" t="s">
        <v>83</v>
      </c>
      <c r="H1363" s="752" t="s">
        <v>1245</v>
      </c>
      <c r="I1363" s="752" t="s">
        <v>60</v>
      </c>
      <c r="J1363" s="751">
        <v>22</v>
      </c>
      <c r="K1363" s="751">
        <v>2</v>
      </c>
      <c r="L1363" s="752" t="s">
        <v>54</v>
      </c>
      <c r="M1363" s="752" t="s">
        <v>468</v>
      </c>
      <c r="N1363" s="752" t="s">
        <v>469</v>
      </c>
      <c r="O1363" s="752" t="s">
        <v>469</v>
      </c>
      <c r="P1363" s="752" t="s">
        <v>1238</v>
      </c>
      <c r="Q1363" s="753">
        <v>0</v>
      </c>
      <c r="R1363" s="753">
        <v>0</v>
      </c>
      <c r="S1363" s="753">
        <v>16509</v>
      </c>
      <c r="T1363" s="753">
        <v>16509</v>
      </c>
      <c r="U1363" s="753">
        <v>1854</v>
      </c>
      <c r="V1363" s="751">
        <v>2019</v>
      </c>
      <c r="W1363" s="222"/>
      <c r="X1363" s="186"/>
      <c r="Y1363" s="178" t="str">
        <f t="shared" si="72"/>
        <v/>
      </c>
      <c r="Z1363" s="178" t="str">
        <f t="shared" si="73"/>
        <v/>
      </c>
      <c r="AA1363" s="44"/>
      <c r="AB1363" s="65"/>
      <c r="AC1363" s="40"/>
    </row>
    <row r="1364" spans="1:29" hidden="1">
      <c r="A1364" s="751">
        <v>58871</v>
      </c>
      <c r="B1364" s="752" t="s">
        <v>35</v>
      </c>
      <c r="C1364" s="751" t="s">
        <v>2960</v>
      </c>
      <c r="D1364" s="752" t="s">
        <v>1715</v>
      </c>
      <c r="E1364" s="752" t="s">
        <v>2039</v>
      </c>
      <c r="F1364" s="751">
        <v>59139</v>
      </c>
      <c r="G1364" s="752" t="s">
        <v>83</v>
      </c>
      <c r="H1364" s="752" t="s">
        <v>1245</v>
      </c>
      <c r="I1364" s="752" t="s">
        <v>60</v>
      </c>
      <c r="J1364" s="751">
        <v>22</v>
      </c>
      <c r="K1364" s="751">
        <v>2</v>
      </c>
      <c r="L1364" s="752" t="s">
        <v>54</v>
      </c>
      <c r="M1364" s="752" t="s">
        <v>468</v>
      </c>
      <c r="N1364" s="752" t="s">
        <v>469</v>
      </c>
      <c r="O1364" s="752" t="s">
        <v>469</v>
      </c>
      <c r="P1364" s="752" t="s">
        <v>1238</v>
      </c>
      <c r="Q1364" s="753">
        <v>0</v>
      </c>
      <c r="R1364" s="753">
        <v>0</v>
      </c>
      <c r="S1364" s="753">
        <v>40764</v>
      </c>
      <c r="T1364" s="753">
        <v>40764</v>
      </c>
      <c r="U1364" s="753">
        <v>4578</v>
      </c>
      <c r="V1364" s="751">
        <v>2019</v>
      </c>
      <c r="W1364" s="222"/>
      <c r="X1364" s="186"/>
      <c r="Y1364" s="178" t="str">
        <f t="shared" si="72"/>
        <v/>
      </c>
      <c r="Z1364" s="178" t="str">
        <f t="shared" si="73"/>
        <v/>
      </c>
      <c r="AA1364" s="44"/>
      <c r="AB1364" s="65"/>
      <c r="AC1364" s="40"/>
    </row>
    <row r="1365" spans="1:29" hidden="1">
      <c r="A1365" s="751">
        <v>58873</v>
      </c>
      <c r="B1365" s="752" t="s">
        <v>35</v>
      </c>
      <c r="C1365" s="751" t="s">
        <v>2960</v>
      </c>
      <c r="D1365" s="752" t="s">
        <v>1716</v>
      </c>
      <c r="E1365" s="752" t="s">
        <v>1717</v>
      </c>
      <c r="F1365" s="751">
        <v>58756</v>
      </c>
      <c r="G1365" s="752" t="s">
        <v>59</v>
      </c>
      <c r="H1365" s="752" t="s">
        <v>1244</v>
      </c>
      <c r="I1365" s="752" t="s">
        <v>60</v>
      </c>
      <c r="J1365" s="751">
        <v>22</v>
      </c>
      <c r="K1365" s="751">
        <v>2</v>
      </c>
      <c r="L1365" s="752" t="s">
        <v>54</v>
      </c>
      <c r="M1365" s="752" t="s">
        <v>37</v>
      </c>
      <c r="N1365" s="752" t="s">
        <v>38</v>
      </c>
      <c r="O1365" s="752" t="s">
        <v>39</v>
      </c>
      <c r="P1365" s="752" t="s">
        <v>1238</v>
      </c>
      <c r="Q1365" s="753">
        <v>0</v>
      </c>
      <c r="R1365" s="753">
        <v>0</v>
      </c>
      <c r="S1365" s="753">
        <v>117007</v>
      </c>
      <c r="T1365" s="753">
        <v>117007</v>
      </c>
      <c r="U1365" s="753">
        <v>13141</v>
      </c>
      <c r="V1365" s="751">
        <v>2019</v>
      </c>
      <c r="W1365" s="222"/>
      <c r="X1365" s="186"/>
      <c r="Y1365" s="86" t="str">
        <f t="shared" si="72"/>
        <v/>
      </c>
      <c r="Z1365" s="86" t="str">
        <f t="shared" si="73"/>
        <v/>
      </c>
      <c r="AA1365" s="44"/>
      <c r="AB1365" s="65"/>
      <c r="AC1365" s="40"/>
    </row>
    <row r="1366" spans="1:29" hidden="1">
      <c r="A1366" s="751">
        <v>58876</v>
      </c>
      <c r="B1366" s="752" t="s">
        <v>35</v>
      </c>
      <c r="C1366" s="751" t="s">
        <v>2960</v>
      </c>
      <c r="D1366" s="752" t="s">
        <v>2472</v>
      </c>
      <c r="E1366" s="752" t="s">
        <v>2473</v>
      </c>
      <c r="F1366" s="751">
        <v>60556</v>
      </c>
      <c r="G1366" s="752" t="s">
        <v>43</v>
      </c>
      <c r="H1366" s="752" t="s">
        <v>1245</v>
      </c>
      <c r="I1366" s="752" t="s">
        <v>60</v>
      </c>
      <c r="J1366" s="751">
        <v>22</v>
      </c>
      <c r="K1366" s="751">
        <v>2</v>
      </c>
      <c r="L1366" s="752" t="s">
        <v>54</v>
      </c>
      <c r="M1366" s="752" t="s">
        <v>468</v>
      </c>
      <c r="N1366" s="752" t="s">
        <v>469</v>
      </c>
      <c r="O1366" s="752" t="s">
        <v>469</v>
      </c>
      <c r="P1366" s="752" t="s">
        <v>1238</v>
      </c>
      <c r="Q1366" s="753">
        <v>0</v>
      </c>
      <c r="R1366" s="753">
        <v>0</v>
      </c>
      <c r="S1366" s="753">
        <v>353427</v>
      </c>
      <c r="T1366" s="753">
        <v>353427</v>
      </c>
      <c r="U1366" s="753">
        <v>39693</v>
      </c>
      <c r="V1366" s="751">
        <v>2019</v>
      </c>
      <c r="W1366" s="222"/>
      <c r="X1366" s="186"/>
      <c r="Y1366" s="86" t="str">
        <f t="shared" si="72"/>
        <v/>
      </c>
      <c r="Z1366" s="86" t="str">
        <f t="shared" si="73"/>
        <v/>
      </c>
      <c r="AA1366" s="44"/>
      <c r="AB1366" s="65"/>
      <c r="AC1366" s="40"/>
    </row>
    <row r="1367" spans="1:29" ht="25" hidden="1">
      <c r="A1367" s="751">
        <v>58934</v>
      </c>
      <c r="B1367" s="752" t="s">
        <v>35</v>
      </c>
      <c r="C1367" s="751" t="s">
        <v>2960</v>
      </c>
      <c r="D1367" s="752" t="s">
        <v>1718</v>
      </c>
      <c r="E1367" s="752" t="s">
        <v>1719</v>
      </c>
      <c r="F1367" s="751">
        <v>58801</v>
      </c>
      <c r="G1367" s="752" t="s">
        <v>83</v>
      </c>
      <c r="H1367" s="752" t="s">
        <v>1245</v>
      </c>
      <c r="I1367" s="752" t="s">
        <v>60</v>
      </c>
      <c r="J1367" s="751">
        <v>22</v>
      </c>
      <c r="K1367" s="751">
        <v>2</v>
      </c>
      <c r="L1367" s="752" t="s">
        <v>54</v>
      </c>
      <c r="M1367" s="752" t="s">
        <v>468</v>
      </c>
      <c r="N1367" s="752" t="s">
        <v>469</v>
      </c>
      <c r="O1367" s="752" t="s">
        <v>469</v>
      </c>
      <c r="P1367" s="752" t="s">
        <v>1238</v>
      </c>
      <c r="Q1367" s="753">
        <v>0</v>
      </c>
      <c r="R1367" s="753">
        <v>0</v>
      </c>
      <c r="S1367" s="753">
        <v>25831</v>
      </c>
      <c r="T1367" s="753">
        <v>25831</v>
      </c>
      <c r="U1367" s="753">
        <v>2901</v>
      </c>
      <c r="V1367" s="751">
        <v>2019</v>
      </c>
      <c r="W1367" s="222"/>
      <c r="X1367" s="186"/>
      <c r="Y1367" s="178" t="str">
        <f t="shared" si="72"/>
        <v/>
      </c>
      <c r="Z1367" s="178" t="str">
        <f t="shared" si="73"/>
        <v/>
      </c>
      <c r="AA1367" s="44"/>
      <c r="AB1367" s="65"/>
      <c r="AC1367" s="40"/>
    </row>
    <row r="1368" spans="1:29" hidden="1">
      <c r="A1368" s="751">
        <v>58935</v>
      </c>
      <c r="B1368" s="752" t="s">
        <v>35</v>
      </c>
      <c r="C1368" s="751" t="s">
        <v>2960</v>
      </c>
      <c r="D1368" s="752" t="s">
        <v>1720</v>
      </c>
      <c r="E1368" s="752" t="s">
        <v>1721</v>
      </c>
      <c r="F1368" s="751">
        <v>58800</v>
      </c>
      <c r="G1368" s="752" t="s">
        <v>91</v>
      </c>
      <c r="H1368" s="752" t="s">
        <v>1245</v>
      </c>
      <c r="I1368" s="752" t="s">
        <v>60</v>
      </c>
      <c r="J1368" s="751">
        <v>22</v>
      </c>
      <c r="K1368" s="751">
        <v>2</v>
      </c>
      <c r="L1368" s="752" t="s">
        <v>54</v>
      </c>
      <c r="M1368" s="752" t="s">
        <v>468</v>
      </c>
      <c r="N1368" s="752" t="s">
        <v>469</v>
      </c>
      <c r="O1368" s="752" t="s">
        <v>469</v>
      </c>
      <c r="P1368" s="752" t="s">
        <v>1238</v>
      </c>
      <c r="Q1368" s="753">
        <v>0</v>
      </c>
      <c r="R1368" s="753">
        <v>0</v>
      </c>
      <c r="S1368" s="753">
        <v>25117</v>
      </c>
      <c r="T1368" s="753">
        <v>25117</v>
      </c>
      <c r="U1368" s="753">
        <v>2821</v>
      </c>
      <c r="V1368" s="751">
        <v>2019</v>
      </c>
      <c r="W1368" s="222"/>
      <c r="X1368" s="186"/>
      <c r="Y1368" s="178" t="str">
        <f t="shared" si="72"/>
        <v/>
      </c>
      <c r="Z1368" s="178" t="str">
        <f t="shared" si="73"/>
        <v/>
      </c>
      <c r="AA1368" s="44"/>
      <c r="AB1368" s="65"/>
      <c r="AC1368" s="40"/>
    </row>
    <row r="1369" spans="1:29" hidden="1">
      <c r="A1369" s="751">
        <v>58936</v>
      </c>
      <c r="B1369" s="752" t="s">
        <v>35</v>
      </c>
      <c r="C1369" s="751" t="s">
        <v>2960</v>
      </c>
      <c r="D1369" s="752" t="s">
        <v>1798</v>
      </c>
      <c r="E1369" s="752" t="s">
        <v>1799</v>
      </c>
      <c r="F1369" s="751">
        <v>58802</v>
      </c>
      <c r="G1369" s="752" t="s">
        <v>83</v>
      </c>
      <c r="H1369" s="752" t="s">
        <v>1245</v>
      </c>
      <c r="I1369" s="752" t="s">
        <v>60</v>
      </c>
      <c r="J1369" s="751">
        <v>22</v>
      </c>
      <c r="K1369" s="751">
        <v>2</v>
      </c>
      <c r="L1369" s="752" t="s">
        <v>54</v>
      </c>
      <c r="M1369" s="752" t="s">
        <v>468</v>
      </c>
      <c r="N1369" s="752" t="s">
        <v>469</v>
      </c>
      <c r="O1369" s="752" t="s">
        <v>469</v>
      </c>
      <c r="P1369" s="752" t="s">
        <v>1238</v>
      </c>
      <c r="Q1369" s="753">
        <v>0</v>
      </c>
      <c r="R1369" s="753">
        <v>0</v>
      </c>
      <c r="S1369" s="753">
        <v>32153</v>
      </c>
      <c r="T1369" s="753">
        <v>32153</v>
      </c>
      <c r="U1369" s="753">
        <v>3611</v>
      </c>
      <c r="V1369" s="751">
        <v>2019</v>
      </c>
      <c r="W1369" s="222"/>
      <c r="X1369" s="186"/>
      <c r="Y1369" s="178" t="str">
        <f t="shared" si="72"/>
        <v/>
      </c>
      <c r="Z1369" s="178" t="str">
        <f t="shared" si="73"/>
        <v/>
      </c>
      <c r="AA1369" s="44"/>
      <c r="AB1369" s="65"/>
      <c r="AC1369" s="40"/>
    </row>
    <row r="1370" spans="1:29" hidden="1">
      <c r="A1370" s="751">
        <v>58937</v>
      </c>
      <c r="B1370" s="752" t="s">
        <v>35</v>
      </c>
      <c r="C1370" s="751" t="s">
        <v>2960</v>
      </c>
      <c r="D1370" s="752" t="s">
        <v>1800</v>
      </c>
      <c r="E1370" s="752" t="s">
        <v>1801</v>
      </c>
      <c r="F1370" s="751">
        <v>58803</v>
      </c>
      <c r="G1370" s="752" t="s">
        <v>83</v>
      </c>
      <c r="H1370" s="752" t="s">
        <v>1245</v>
      </c>
      <c r="I1370" s="752" t="s">
        <v>60</v>
      </c>
      <c r="J1370" s="751">
        <v>22</v>
      </c>
      <c r="K1370" s="751">
        <v>2</v>
      </c>
      <c r="L1370" s="752" t="s">
        <v>54</v>
      </c>
      <c r="M1370" s="752" t="s">
        <v>468</v>
      </c>
      <c r="N1370" s="752" t="s">
        <v>469</v>
      </c>
      <c r="O1370" s="752" t="s">
        <v>469</v>
      </c>
      <c r="P1370" s="752" t="s">
        <v>1238</v>
      </c>
      <c r="Q1370" s="753">
        <v>0</v>
      </c>
      <c r="R1370" s="753">
        <v>0</v>
      </c>
      <c r="S1370" s="753">
        <v>26935</v>
      </c>
      <c r="T1370" s="753">
        <v>26935</v>
      </c>
      <c r="U1370" s="753">
        <v>3025</v>
      </c>
      <c r="V1370" s="751">
        <v>2019</v>
      </c>
      <c r="W1370" s="222"/>
      <c r="X1370" s="186"/>
      <c r="Y1370" s="178" t="str">
        <f t="shared" si="72"/>
        <v/>
      </c>
      <c r="Z1370" s="178" t="str">
        <f t="shared" si="73"/>
        <v/>
      </c>
      <c r="AA1370" s="44"/>
      <c r="AB1370" s="65"/>
      <c r="AC1370" s="40"/>
    </row>
    <row r="1371" spans="1:29" hidden="1">
      <c r="A1371" s="751">
        <v>58945</v>
      </c>
      <c r="B1371" s="752" t="s">
        <v>56</v>
      </c>
      <c r="C1371" s="751" t="s">
        <v>2960</v>
      </c>
      <c r="D1371" s="752" t="s">
        <v>1722</v>
      </c>
      <c r="E1371" s="752" t="s">
        <v>2263</v>
      </c>
      <c r="F1371" s="751">
        <v>58809</v>
      </c>
      <c r="G1371" s="752" t="s">
        <v>83</v>
      </c>
      <c r="H1371" s="752" t="s">
        <v>1245</v>
      </c>
      <c r="I1371" s="752" t="s">
        <v>60</v>
      </c>
      <c r="J1371" s="751">
        <v>22</v>
      </c>
      <c r="K1371" s="751">
        <v>3</v>
      </c>
      <c r="L1371" s="752" t="s">
        <v>57</v>
      </c>
      <c r="M1371" s="752" t="s">
        <v>53</v>
      </c>
      <c r="N1371" s="752" t="s">
        <v>41</v>
      </c>
      <c r="O1371" s="752" t="s">
        <v>41</v>
      </c>
      <c r="P1371" s="752" t="s">
        <v>1091</v>
      </c>
      <c r="Q1371" s="753">
        <v>47676</v>
      </c>
      <c r="R1371" s="753">
        <v>16292</v>
      </c>
      <c r="S1371" s="753">
        <v>52445</v>
      </c>
      <c r="T1371" s="753">
        <v>17922</v>
      </c>
      <c r="U1371" s="753">
        <v>4570</v>
      </c>
      <c r="V1371" s="751">
        <v>2019</v>
      </c>
      <c r="W1371" s="222"/>
      <c r="X1371" s="186"/>
      <c r="Y1371" s="178" t="str">
        <f t="shared" si="72"/>
        <v/>
      </c>
      <c r="Z1371" s="178" t="str">
        <f t="shared" si="73"/>
        <v/>
      </c>
      <c r="AA1371" s="44"/>
      <c r="AB1371" s="65"/>
      <c r="AC1371" s="40"/>
    </row>
    <row r="1372" spans="1:29" hidden="1">
      <c r="A1372" s="751">
        <v>58958</v>
      </c>
      <c r="B1372" s="752" t="s">
        <v>35</v>
      </c>
      <c r="C1372" s="751" t="s">
        <v>2960</v>
      </c>
      <c r="D1372" s="752" t="s">
        <v>1723</v>
      </c>
      <c r="E1372" s="752" t="s">
        <v>1723</v>
      </c>
      <c r="F1372" s="751">
        <v>58821</v>
      </c>
      <c r="G1372" s="752" t="s">
        <v>83</v>
      </c>
      <c r="H1372" s="752" t="s">
        <v>1245</v>
      </c>
      <c r="I1372" s="752" t="s">
        <v>60</v>
      </c>
      <c r="J1372" s="751">
        <v>22</v>
      </c>
      <c r="K1372" s="751">
        <v>2</v>
      </c>
      <c r="L1372" s="752" t="s">
        <v>54</v>
      </c>
      <c r="M1372" s="752" t="s">
        <v>73</v>
      </c>
      <c r="N1372" s="752" t="s">
        <v>74</v>
      </c>
      <c r="O1372" s="752" t="s">
        <v>74</v>
      </c>
      <c r="P1372" s="752" t="s">
        <v>1238</v>
      </c>
      <c r="Q1372" s="753">
        <v>0</v>
      </c>
      <c r="R1372" s="753">
        <v>0</v>
      </c>
      <c r="S1372" s="753">
        <v>24408</v>
      </c>
      <c r="T1372" s="753">
        <v>24408</v>
      </c>
      <c r="U1372" s="753">
        <v>2741</v>
      </c>
      <c r="V1372" s="751">
        <v>2019</v>
      </c>
      <c r="W1372" s="222"/>
      <c r="X1372" s="186"/>
      <c r="Y1372" s="178" t="str">
        <f t="shared" si="72"/>
        <v/>
      </c>
      <c r="Z1372" s="178" t="str">
        <f t="shared" si="73"/>
        <v/>
      </c>
      <c r="AA1372" s="44"/>
      <c r="AB1372" s="65"/>
      <c r="AC1372" s="40"/>
    </row>
    <row r="1373" spans="1:29" hidden="1">
      <c r="A1373" s="751">
        <v>58964</v>
      </c>
      <c r="B1373" s="752" t="s">
        <v>35</v>
      </c>
      <c r="C1373" s="751" t="s">
        <v>2960</v>
      </c>
      <c r="D1373" s="752" t="s">
        <v>1802</v>
      </c>
      <c r="E1373" s="752" t="s">
        <v>1803</v>
      </c>
      <c r="F1373" s="751">
        <v>58825</v>
      </c>
      <c r="G1373" s="752" t="s">
        <v>91</v>
      </c>
      <c r="H1373" s="752" t="s">
        <v>1245</v>
      </c>
      <c r="I1373" s="752" t="s">
        <v>60</v>
      </c>
      <c r="J1373" s="751">
        <v>22</v>
      </c>
      <c r="K1373" s="751">
        <v>2</v>
      </c>
      <c r="L1373" s="752" t="s">
        <v>54</v>
      </c>
      <c r="M1373" s="752" t="s">
        <v>468</v>
      </c>
      <c r="N1373" s="752" t="s">
        <v>469</v>
      </c>
      <c r="O1373" s="752" t="s">
        <v>469</v>
      </c>
      <c r="P1373" s="752" t="s">
        <v>1238</v>
      </c>
      <c r="Q1373" s="753">
        <v>0</v>
      </c>
      <c r="R1373" s="753">
        <v>0</v>
      </c>
      <c r="S1373" s="753">
        <v>24078</v>
      </c>
      <c r="T1373" s="753">
        <v>24078</v>
      </c>
      <c r="U1373" s="753">
        <v>2704</v>
      </c>
      <c r="V1373" s="751">
        <v>2019</v>
      </c>
      <c r="W1373" s="222"/>
      <c r="X1373" s="186"/>
      <c r="Y1373" s="178" t="str">
        <f t="shared" si="72"/>
        <v/>
      </c>
      <c r="Z1373" s="178" t="str">
        <f t="shared" si="73"/>
        <v/>
      </c>
      <c r="AA1373" s="44"/>
      <c r="AB1373" s="65"/>
      <c r="AC1373" s="40"/>
    </row>
    <row r="1374" spans="1:29" hidden="1">
      <c r="A1374" s="751">
        <v>58974</v>
      </c>
      <c r="B1374" s="752" t="s">
        <v>35</v>
      </c>
      <c r="C1374" s="751" t="s">
        <v>2960</v>
      </c>
      <c r="D1374" s="752" t="s">
        <v>1804</v>
      </c>
      <c r="E1374" s="752" t="s">
        <v>1805</v>
      </c>
      <c r="F1374" s="751">
        <v>58837</v>
      </c>
      <c r="G1374" s="752" t="s">
        <v>83</v>
      </c>
      <c r="H1374" s="752" t="s">
        <v>1245</v>
      </c>
      <c r="I1374" s="752" t="s">
        <v>60</v>
      </c>
      <c r="J1374" s="751">
        <v>22</v>
      </c>
      <c r="K1374" s="751">
        <v>2</v>
      </c>
      <c r="L1374" s="752" t="s">
        <v>54</v>
      </c>
      <c r="M1374" s="752" t="s">
        <v>468</v>
      </c>
      <c r="N1374" s="752" t="s">
        <v>469</v>
      </c>
      <c r="O1374" s="752" t="s">
        <v>469</v>
      </c>
      <c r="P1374" s="752" t="s">
        <v>1238</v>
      </c>
      <c r="Q1374" s="753">
        <v>0</v>
      </c>
      <c r="R1374" s="753">
        <v>0</v>
      </c>
      <c r="S1374" s="753">
        <v>25652</v>
      </c>
      <c r="T1374" s="753">
        <v>25652</v>
      </c>
      <c r="U1374" s="753">
        <v>2881</v>
      </c>
      <c r="V1374" s="751">
        <v>2019</v>
      </c>
      <c r="W1374" s="222"/>
      <c r="X1374" s="186"/>
      <c r="Y1374" s="178" t="str">
        <f t="shared" si="72"/>
        <v/>
      </c>
      <c r="Z1374" s="178" t="str">
        <f t="shared" si="73"/>
        <v/>
      </c>
      <c r="AA1374" s="44"/>
      <c r="AB1374" s="65"/>
      <c r="AC1374" s="40"/>
    </row>
    <row r="1375" spans="1:29" ht="25" hidden="1">
      <c r="A1375" s="751">
        <v>58979</v>
      </c>
      <c r="B1375" s="752" t="s">
        <v>35</v>
      </c>
      <c r="C1375" s="751" t="s">
        <v>2960</v>
      </c>
      <c r="D1375" s="752" t="s">
        <v>2474</v>
      </c>
      <c r="E1375" s="752" t="s">
        <v>1819</v>
      </c>
      <c r="F1375" s="751">
        <v>57170</v>
      </c>
      <c r="G1375" s="752" t="s">
        <v>59</v>
      </c>
      <c r="H1375" s="752" t="s">
        <v>1244</v>
      </c>
      <c r="I1375" s="752" t="s">
        <v>60</v>
      </c>
      <c r="J1375" s="751">
        <v>22</v>
      </c>
      <c r="K1375" s="751">
        <v>2</v>
      </c>
      <c r="L1375" s="752" t="s">
        <v>54</v>
      </c>
      <c r="M1375" s="752" t="s">
        <v>73</v>
      </c>
      <c r="N1375" s="752" t="s">
        <v>74</v>
      </c>
      <c r="O1375" s="752" t="s">
        <v>74</v>
      </c>
      <c r="P1375" s="752" t="s">
        <v>1238</v>
      </c>
      <c r="Q1375" s="753">
        <v>0</v>
      </c>
      <c r="R1375" s="753">
        <v>0</v>
      </c>
      <c r="S1375" s="753">
        <v>2356354</v>
      </c>
      <c r="T1375" s="753">
        <v>2356354</v>
      </c>
      <c r="U1375" s="753">
        <v>264640</v>
      </c>
      <c r="V1375" s="751">
        <v>2019</v>
      </c>
      <c r="W1375" s="222"/>
      <c r="X1375" s="186"/>
      <c r="Y1375" s="178" t="str">
        <f t="shared" si="72"/>
        <v/>
      </c>
      <c r="Z1375" s="178" t="str">
        <f t="shared" si="73"/>
        <v/>
      </c>
      <c r="AA1375" s="44"/>
      <c r="AB1375" s="65"/>
      <c r="AC1375" s="40"/>
    </row>
    <row r="1376" spans="1:29" ht="25" hidden="1">
      <c r="A1376" s="751">
        <v>58992</v>
      </c>
      <c r="B1376" s="752" t="s">
        <v>35</v>
      </c>
      <c r="C1376" s="751" t="s">
        <v>2960</v>
      </c>
      <c r="D1376" s="752" t="s">
        <v>1724</v>
      </c>
      <c r="E1376" s="752" t="s">
        <v>1724</v>
      </c>
      <c r="F1376" s="751">
        <v>58844</v>
      </c>
      <c r="G1376" s="752" t="s">
        <v>83</v>
      </c>
      <c r="H1376" s="752" t="s">
        <v>1245</v>
      </c>
      <c r="I1376" s="752" t="s">
        <v>60</v>
      </c>
      <c r="J1376" s="751">
        <v>92214</v>
      </c>
      <c r="K1376" s="751">
        <v>4</v>
      </c>
      <c r="L1376" s="752" t="s">
        <v>422</v>
      </c>
      <c r="M1376" s="752" t="s">
        <v>73</v>
      </c>
      <c r="N1376" s="752" t="s">
        <v>74</v>
      </c>
      <c r="O1376" s="752" t="s">
        <v>74</v>
      </c>
      <c r="P1376" s="752" t="s">
        <v>1238</v>
      </c>
      <c r="Q1376" s="753">
        <v>0</v>
      </c>
      <c r="R1376" s="753">
        <v>0</v>
      </c>
      <c r="S1376" s="753">
        <v>64572</v>
      </c>
      <c r="T1376" s="753">
        <v>64572</v>
      </c>
      <c r="U1376" s="753">
        <v>7252</v>
      </c>
      <c r="V1376" s="751">
        <v>2019</v>
      </c>
      <c r="W1376" s="222"/>
      <c r="X1376" s="186"/>
      <c r="Y1376" s="178" t="str">
        <f t="shared" si="72"/>
        <v/>
      </c>
      <c r="Z1376" s="178" t="str">
        <f t="shared" si="73"/>
        <v/>
      </c>
      <c r="AA1376" s="44"/>
      <c r="AB1376" s="65"/>
      <c r="AC1376" s="40"/>
    </row>
    <row r="1377" spans="1:29" hidden="1">
      <c r="A1377" s="751">
        <v>58993</v>
      </c>
      <c r="B1377" s="752" t="s">
        <v>35</v>
      </c>
      <c r="C1377" s="751" t="s">
        <v>2960</v>
      </c>
      <c r="D1377" s="752" t="s">
        <v>1725</v>
      </c>
      <c r="E1377" s="752" t="s">
        <v>1726</v>
      </c>
      <c r="F1377" s="751">
        <v>58845</v>
      </c>
      <c r="G1377" s="752" t="s">
        <v>92</v>
      </c>
      <c r="H1377" s="752" t="s">
        <v>1245</v>
      </c>
      <c r="I1377" s="752" t="s">
        <v>60</v>
      </c>
      <c r="J1377" s="751">
        <v>22</v>
      </c>
      <c r="K1377" s="751">
        <v>2</v>
      </c>
      <c r="L1377" s="752" t="s">
        <v>54</v>
      </c>
      <c r="M1377" s="752" t="s">
        <v>53</v>
      </c>
      <c r="N1377" s="752" t="s">
        <v>65</v>
      </c>
      <c r="O1377" s="752" t="s">
        <v>66</v>
      </c>
      <c r="P1377" s="752" t="s">
        <v>1091</v>
      </c>
      <c r="Q1377" s="753">
        <v>196695</v>
      </c>
      <c r="R1377" s="753">
        <v>196695</v>
      </c>
      <c r="S1377" s="753">
        <v>73566</v>
      </c>
      <c r="T1377" s="753">
        <v>73566</v>
      </c>
      <c r="U1377" s="753">
        <v>6285</v>
      </c>
      <c r="V1377" s="751">
        <v>2019</v>
      </c>
      <c r="W1377" s="222"/>
      <c r="X1377" s="186"/>
      <c r="Y1377" s="178" t="str">
        <f t="shared" si="72"/>
        <v/>
      </c>
      <c r="Z1377" s="178" t="str">
        <f t="shared" si="73"/>
        <v/>
      </c>
      <c r="AA1377" s="44"/>
      <c r="AB1377" s="65"/>
      <c r="AC1377" s="40"/>
    </row>
    <row r="1378" spans="1:29" ht="25" hidden="1">
      <c r="A1378" s="751">
        <v>59011</v>
      </c>
      <c r="B1378" s="752" t="s">
        <v>35</v>
      </c>
      <c r="C1378" s="751" t="s">
        <v>2960</v>
      </c>
      <c r="D1378" s="752" t="s">
        <v>1727</v>
      </c>
      <c r="E1378" s="752" t="s">
        <v>2042</v>
      </c>
      <c r="F1378" s="751">
        <v>58860</v>
      </c>
      <c r="G1378" s="752" t="s">
        <v>83</v>
      </c>
      <c r="H1378" s="752" t="s">
        <v>1245</v>
      </c>
      <c r="I1378" s="752" t="s">
        <v>60</v>
      </c>
      <c r="J1378" s="751">
        <v>22</v>
      </c>
      <c r="K1378" s="751">
        <v>2</v>
      </c>
      <c r="L1378" s="752" t="s">
        <v>54</v>
      </c>
      <c r="M1378" s="752" t="s">
        <v>53</v>
      </c>
      <c r="N1378" s="752" t="s">
        <v>65</v>
      </c>
      <c r="O1378" s="752" t="s">
        <v>66</v>
      </c>
      <c r="P1378" s="752" t="s">
        <v>1091</v>
      </c>
      <c r="Q1378" s="753">
        <v>155885</v>
      </c>
      <c r="R1378" s="753">
        <v>155885</v>
      </c>
      <c r="S1378" s="753">
        <v>77946</v>
      </c>
      <c r="T1378" s="753">
        <v>77946</v>
      </c>
      <c r="U1378" s="753">
        <v>6793</v>
      </c>
      <c r="V1378" s="751">
        <v>2019</v>
      </c>
      <c r="W1378" s="222"/>
      <c r="X1378" s="186"/>
      <c r="Y1378" s="178" t="str">
        <f t="shared" si="72"/>
        <v/>
      </c>
      <c r="Z1378" s="178" t="str">
        <f t="shared" si="73"/>
        <v/>
      </c>
      <c r="AA1378" s="44"/>
      <c r="AB1378" s="65"/>
      <c r="AC1378" s="40"/>
    </row>
    <row r="1379" spans="1:29" hidden="1">
      <c r="A1379" s="751">
        <v>59013</v>
      </c>
      <c r="B1379" s="752" t="s">
        <v>35</v>
      </c>
      <c r="C1379" s="751" t="s">
        <v>2960</v>
      </c>
      <c r="D1379" s="752" t="s">
        <v>1728</v>
      </c>
      <c r="E1379" s="752" t="s">
        <v>1729</v>
      </c>
      <c r="F1379" s="751">
        <v>58863</v>
      </c>
      <c r="G1379" s="752" t="s">
        <v>83</v>
      </c>
      <c r="H1379" s="752" t="s">
        <v>1245</v>
      </c>
      <c r="I1379" s="752" t="s">
        <v>60</v>
      </c>
      <c r="J1379" s="751">
        <v>22</v>
      </c>
      <c r="K1379" s="751">
        <v>2</v>
      </c>
      <c r="L1379" s="752" t="s">
        <v>54</v>
      </c>
      <c r="M1379" s="752" t="s">
        <v>468</v>
      </c>
      <c r="N1379" s="752" t="s">
        <v>469</v>
      </c>
      <c r="O1379" s="752" t="s">
        <v>469</v>
      </c>
      <c r="P1379" s="752" t="s">
        <v>1238</v>
      </c>
      <c r="Q1379" s="753">
        <v>0</v>
      </c>
      <c r="R1379" s="753">
        <v>0</v>
      </c>
      <c r="S1379" s="753">
        <v>31991</v>
      </c>
      <c r="T1379" s="753">
        <v>31991</v>
      </c>
      <c r="U1379" s="753">
        <v>3593</v>
      </c>
      <c r="V1379" s="751">
        <v>2019</v>
      </c>
      <c r="W1379" s="222"/>
      <c r="X1379" s="186"/>
      <c r="Y1379" s="178" t="str">
        <f t="shared" si="72"/>
        <v/>
      </c>
      <c r="Z1379" s="178" t="str">
        <f t="shared" si="73"/>
        <v/>
      </c>
      <c r="AA1379" s="44"/>
      <c r="AB1379" s="65"/>
      <c r="AC1379" s="40"/>
    </row>
    <row r="1380" spans="1:29" hidden="1">
      <c r="A1380" s="751">
        <v>59014</v>
      </c>
      <c r="B1380" s="752" t="s">
        <v>35</v>
      </c>
      <c r="C1380" s="751" t="s">
        <v>2960</v>
      </c>
      <c r="D1380" s="752" t="s">
        <v>1730</v>
      </c>
      <c r="E1380" s="752" t="s">
        <v>1729</v>
      </c>
      <c r="F1380" s="751">
        <v>58863</v>
      </c>
      <c r="G1380" s="752" t="s">
        <v>83</v>
      </c>
      <c r="H1380" s="752" t="s">
        <v>1245</v>
      </c>
      <c r="I1380" s="752" t="s">
        <v>60</v>
      </c>
      <c r="J1380" s="751">
        <v>22</v>
      </c>
      <c r="K1380" s="751">
        <v>2</v>
      </c>
      <c r="L1380" s="752" t="s">
        <v>54</v>
      </c>
      <c r="M1380" s="752" t="s">
        <v>468</v>
      </c>
      <c r="N1380" s="752" t="s">
        <v>469</v>
      </c>
      <c r="O1380" s="752" t="s">
        <v>469</v>
      </c>
      <c r="P1380" s="752" t="s">
        <v>1238</v>
      </c>
      <c r="Q1380" s="753">
        <v>0</v>
      </c>
      <c r="R1380" s="753">
        <v>0</v>
      </c>
      <c r="S1380" s="753">
        <v>62211</v>
      </c>
      <c r="T1380" s="753">
        <v>62211</v>
      </c>
      <c r="U1380" s="753">
        <v>6987</v>
      </c>
      <c r="V1380" s="751">
        <v>2019</v>
      </c>
      <c r="W1380" s="222"/>
      <c r="X1380" s="186"/>
      <c r="Y1380" s="178" t="str">
        <f t="shared" si="72"/>
        <v/>
      </c>
      <c r="Z1380" s="178" t="str">
        <f t="shared" si="73"/>
        <v/>
      </c>
      <c r="AA1380" s="44"/>
      <c r="AB1380" s="65"/>
      <c r="AC1380" s="40"/>
    </row>
    <row r="1381" spans="1:29" hidden="1">
      <c r="A1381" s="751">
        <v>59015</v>
      </c>
      <c r="B1381" s="752" t="s">
        <v>35</v>
      </c>
      <c r="C1381" s="751" t="s">
        <v>2960</v>
      </c>
      <c r="D1381" s="752" t="s">
        <v>1731</v>
      </c>
      <c r="E1381" s="752" t="s">
        <v>1729</v>
      </c>
      <c r="F1381" s="751">
        <v>58863</v>
      </c>
      <c r="G1381" s="752" t="s">
        <v>83</v>
      </c>
      <c r="H1381" s="752" t="s">
        <v>1245</v>
      </c>
      <c r="I1381" s="752" t="s">
        <v>60</v>
      </c>
      <c r="J1381" s="751">
        <v>22</v>
      </c>
      <c r="K1381" s="751">
        <v>2</v>
      </c>
      <c r="L1381" s="752" t="s">
        <v>54</v>
      </c>
      <c r="M1381" s="752" t="s">
        <v>468</v>
      </c>
      <c r="N1381" s="752" t="s">
        <v>469</v>
      </c>
      <c r="O1381" s="752" t="s">
        <v>469</v>
      </c>
      <c r="P1381" s="752" t="s">
        <v>1238</v>
      </c>
      <c r="Q1381" s="753">
        <v>0</v>
      </c>
      <c r="R1381" s="753">
        <v>0</v>
      </c>
      <c r="S1381" s="753">
        <v>26044</v>
      </c>
      <c r="T1381" s="753">
        <v>26044</v>
      </c>
      <c r="U1381" s="753">
        <v>2925</v>
      </c>
      <c r="V1381" s="751">
        <v>2019</v>
      </c>
      <c r="W1381" s="222"/>
      <c r="X1381" s="186"/>
      <c r="Y1381" s="178" t="str">
        <f t="shared" si="72"/>
        <v/>
      </c>
      <c r="Z1381" s="178" t="str">
        <f t="shared" si="73"/>
        <v/>
      </c>
      <c r="AA1381" s="44"/>
      <c r="AB1381" s="65"/>
      <c r="AC1381" s="40"/>
    </row>
    <row r="1382" spans="1:29" hidden="1">
      <c r="A1382" s="751">
        <v>59022</v>
      </c>
      <c r="B1382" s="752" t="s">
        <v>35</v>
      </c>
      <c r="C1382" s="751" t="s">
        <v>2960</v>
      </c>
      <c r="D1382" s="752" t="s">
        <v>1732</v>
      </c>
      <c r="E1382" s="752" t="s">
        <v>1732</v>
      </c>
      <c r="F1382" s="751">
        <v>58867</v>
      </c>
      <c r="G1382" s="752" t="s">
        <v>83</v>
      </c>
      <c r="H1382" s="752" t="s">
        <v>1245</v>
      </c>
      <c r="I1382" s="752" t="s">
        <v>60</v>
      </c>
      <c r="J1382" s="751">
        <v>22</v>
      </c>
      <c r="K1382" s="751">
        <v>2</v>
      </c>
      <c r="L1382" s="752" t="s">
        <v>54</v>
      </c>
      <c r="M1382" s="752" t="s">
        <v>73</v>
      </c>
      <c r="N1382" s="752" t="s">
        <v>74</v>
      </c>
      <c r="O1382" s="752" t="s">
        <v>74</v>
      </c>
      <c r="P1382" s="752" t="s">
        <v>1238</v>
      </c>
      <c r="Q1382" s="753">
        <v>0</v>
      </c>
      <c r="R1382" s="753">
        <v>0</v>
      </c>
      <c r="S1382" s="753">
        <v>6171</v>
      </c>
      <c r="T1382" s="753">
        <v>6171</v>
      </c>
      <c r="U1382" s="753">
        <v>693</v>
      </c>
      <c r="V1382" s="751">
        <v>2019</v>
      </c>
      <c r="W1382" s="222"/>
      <c r="X1382" s="186"/>
      <c r="Y1382" s="178" t="str">
        <f t="shared" si="72"/>
        <v/>
      </c>
      <c r="Z1382" s="178" t="str">
        <f t="shared" si="73"/>
        <v/>
      </c>
      <c r="AA1382" s="44"/>
      <c r="AB1382" s="65"/>
      <c r="AC1382" s="40"/>
    </row>
    <row r="1383" spans="1:29" hidden="1">
      <c r="A1383" s="751">
        <v>59023</v>
      </c>
      <c r="B1383" s="752" t="s">
        <v>35</v>
      </c>
      <c r="C1383" s="751" t="s">
        <v>2960</v>
      </c>
      <c r="D1383" s="752" t="s">
        <v>1733</v>
      </c>
      <c r="E1383" s="752" t="s">
        <v>1733</v>
      </c>
      <c r="F1383" s="751">
        <v>58866</v>
      </c>
      <c r="G1383" s="752" t="s">
        <v>83</v>
      </c>
      <c r="H1383" s="752" t="s">
        <v>1245</v>
      </c>
      <c r="I1383" s="752" t="s">
        <v>60</v>
      </c>
      <c r="J1383" s="751">
        <v>22</v>
      </c>
      <c r="K1383" s="751">
        <v>2</v>
      </c>
      <c r="L1383" s="752" t="s">
        <v>54</v>
      </c>
      <c r="M1383" s="752" t="s">
        <v>73</v>
      </c>
      <c r="N1383" s="752" t="s">
        <v>74</v>
      </c>
      <c r="O1383" s="752" t="s">
        <v>74</v>
      </c>
      <c r="P1383" s="752" t="s">
        <v>1238</v>
      </c>
      <c r="Q1383" s="753">
        <v>0</v>
      </c>
      <c r="R1383" s="753">
        <v>0</v>
      </c>
      <c r="S1383" s="753">
        <v>0</v>
      </c>
      <c r="T1383" s="753">
        <v>0</v>
      </c>
      <c r="U1383" s="753">
        <v>0</v>
      </c>
      <c r="V1383" s="751">
        <v>2019</v>
      </c>
      <c r="W1383" s="222"/>
      <c r="X1383" s="186"/>
      <c r="Y1383" s="178" t="str">
        <f t="shared" si="72"/>
        <v/>
      </c>
      <c r="Z1383" s="178" t="str">
        <f t="shared" si="73"/>
        <v/>
      </c>
      <c r="AA1383" s="44"/>
      <c r="AB1383" s="65"/>
      <c r="AC1383" s="40"/>
    </row>
    <row r="1384" spans="1:29" hidden="1">
      <c r="A1384" s="751">
        <v>59028</v>
      </c>
      <c r="B1384" s="752" t="s">
        <v>35</v>
      </c>
      <c r="C1384" s="751" t="s">
        <v>2960</v>
      </c>
      <c r="D1384" s="752" t="s">
        <v>1734</v>
      </c>
      <c r="E1384" s="752" t="s">
        <v>1735</v>
      </c>
      <c r="F1384" s="751">
        <v>58871</v>
      </c>
      <c r="G1384" s="752" t="s">
        <v>83</v>
      </c>
      <c r="H1384" s="752" t="s">
        <v>1245</v>
      </c>
      <c r="I1384" s="752" t="s">
        <v>60</v>
      </c>
      <c r="J1384" s="751">
        <v>22</v>
      </c>
      <c r="K1384" s="751">
        <v>2</v>
      </c>
      <c r="L1384" s="752" t="s">
        <v>54</v>
      </c>
      <c r="M1384" s="752" t="s">
        <v>468</v>
      </c>
      <c r="N1384" s="752" t="s">
        <v>469</v>
      </c>
      <c r="O1384" s="752" t="s">
        <v>469</v>
      </c>
      <c r="P1384" s="752" t="s">
        <v>1238</v>
      </c>
      <c r="Q1384" s="753">
        <v>0</v>
      </c>
      <c r="R1384" s="753">
        <v>0</v>
      </c>
      <c r="S1384" s="753">
        <v>18397</v>
      </c>
      <c r="T1384" s="753">
        <v>18397</v>
      </c>
      <c r="U1384" s="753">
        <v>2066</v>
      </c>
      <c r="V1384" s="751">
        <v>2019</v>
      </c>
      <c r="W1384" s="222"/>
      <c r="X1384" s="186"/>
      <c r="Y1384" s="178" t="str">
        <f t="shared" si="72"/>
        <v/>
      </c>
      <c r="Z1384" s="178" t="str">
        <f t="shared" si="73"/>
        <v/>
      </c>
      <c r="AA1384" s="44"/>
      <c r="AB1384" s="65"/>
      <c r="AC1384" s="40"/>
    </row>
    <row r="1385" spans="1:29" hidden="1">
      <c r="A1385" s="751">
        <v>59029</v>
      </c>
      <c r="B1385" s="752" t="s">
        <v>35</v>
      </c>
      <c r="C1385" s="751" t="s">
        <v>2960</v>
      </c>
      <c r="D1385" s="752" t="s">
        <v>1736</v>
      </c>
      <c r="E1385" s="752" t="s">
        <v>1735</v>
      </c>
      <c r="F1385" s="751">
        <v>58871</v>
      </c>
      <c r="G1385" s="752" t="s">
        <v>83</v>
      </c>
      <c r="H1385" s="752" t="s">
        <v>1245</v>
      </c>
      <c r="I1385" s="752" t="s">
        <v>60</v>
      </c>
      <c r="J1385" s="751">
        <v>22</v>
      </c>
      <c r="K1385" s="751">
        <v>2</v>
      </c>
      <c r="L1385" s="752" t="s">
        <v>54</v>
      </c>
      <c r="M1385" s="752" t="s">
        <v>468</v>
      </c>
      <c r="N1385" s="752" t="s">
        <v>469</v>
      </c>
      <c r="O1385" s="752" t="s">
        <v>469</v>
      </c>
      <c r="P1385" s="752" t="s">
        <v>1238</v>
      </c>
      <c r="Q1385" s="753">
        <v>0</v>
      </c>
      <c r="R1385" s="753">
        <v>0</v>
      </c>
      <c r="S1385" s="753">
        <v>28528</v>
      </c>
      <c r="T1385" s="753">
        <v>28528</v>
      </c>
      <c r="U1385" s="753">
        <v>3204</v>
      </c>
      <c r="V1385" s="751">
        <v>2019</v>
      </c>
      <c r="W1385" s="222"/>
      <c r="X1385" s="186"/>
      <c r="Y1385" s="178" t="str">
        <f t="shared" si="72"/>
        <v/>
      </c>
      <c r="Z1385" s="178" t="str">
        <f t="shared" si="73"/>
        <v/>
      </c>
      <c r="AA1385" s="44"/>
      <c r="AB1385" s="65"/>
      <c r="AC1385" s="40"/>
    </row>
    <row r="1386" spans="1:29" hidden="1">
      <c r="A1386" s="751">
        <v>59030</v>
      </c>
      <c r="B1386" s="752" t="s">
        <v>35</v>
      </c>
      <c r="C1386" s="751" t="s">
        <v>2960</v>
      </c>
      <c r="D1386" s="752" t="s">
        <v>1737</v>
      </c>
      <c r="E1386" s="752" t="s">
        <v>1735</v>
      </c>
      <c r="F1386" s="751">
        <v>58871</v>
      </c>
      <c r="G1386" s="752" t="s">
        <v>83</v>
      </c>
      <c r="H1386" s="752" t="s">
        <v>1245</v>
      </c>
      <c r="I1386" s="752" t="s">
        <v>60</v>
      </c>
      <c r="J1386" s="751">
        <v>22</v>
      </c>
      <c r="K1386" s="751">
        <v>2</v>
      </c>
      <c r="L1386" s="752" t="s">
        <v>54</v>
      </c>
      <c r="M1386" s="752" t="s">
        <v>468</v>
      </c>
      <c r="N1386" s="752" t="s">
        <v>469</v>
      </c>
      <c r="O1386" s="752" t="s">
        <v>469</v>
      </c>
      <c r="P1386" s="752" t="s">
        <v>1238</v>
      </c>
      <c r="Q1386" s="753">
        <v>0</v>
      </c>
      <c r="R1386" s="753">
        <v>0</v>
      </c>
      <c r="S1386" s="753">
        <v>35821</v>
      </c>
      <c r="T1386" s="753">
        <v>35821</v>
      </c>
      <c r="U1386" s="753">
        <v>4023</v>
      </c>
      <c r="V1386" s="751">
        <v>2019</v>
      </c>
      <c r="W1386" s="222"/>
      <c r="X1386" s="186"/>
      <c r="Y1386" s="178" t="str">
        <f t="shared" si="72"/>
        <v/>
      </c>
      <c r="Z1386" s="178" t="str">
        <f t="shared" si="73"/>
        <v/>
      </c>
      <c r="AA1386" s="44"/>
      <c r="AB1386" s="65"/>
      <c r="AC1386" s="40"/>
    </row>
    <row r="1387" spans="1:29" hidden="1">
      <c r="A1387" s="751">
        <v>59031</v>
      </c>
      <c r="B1387" s="752" t="s">
        <v>35</v>
      </c>
      <c r="C1387" s="751" t="s">
        <v>2960</v>
      </c>
      <c r="D1387" s="752" t="s">
        <v>1738</v>
      </c>
      <c r="E1387" s="752" t="s">
        <v>1735</v>
      </c>
      <c r="F1387" s="751">
        <v>58871</v>
      </c>
      <c r="G1387" s="752" t="s">
        <v>83</v>
      </c>
      <c r="H1387" s="752" t="s">
        <v>1245</v>
      </c>
      <c r="I1387" s="752" t="s">
        <v>60</v>
      </c>
      <c r="J1387" s="751">
        <v>22</v>
      </c>
      <c r="K1387" s="751">
        <v>2</v>
      </c>
      <c r="L1387" s="752" t="s">
        <v>54</v>
      </c>
      <c r="M1387" s="752" t="s">
        <v>468</v>
      </c>
      <c r="N1387" s="752" t="s">
        <v>469</v>
      </c>
      <c r="O1387" s="752" t="s">
        <v>469</v>
      </c>
      <c r="P1387" s="752" t="s">
        <v>1238</v>
      </c>
      <c r="Q1387" s="753">
        <v>0</v>
      </c>
      <c r="R1387" s="753">
        <v>0</v>
      </c>
      <c r="S1387" s="753">
        <v>19010</v>
      </c>
      <c r="T1387" s="753">
        <v>19010</v>
      </c>
      <c r="U1387" s="753">
        <v>2135</v>
      </c>
      <c r="V1387" s="751">
        <v>2019</v>
      </c>
      <c r="W1387" s="222"/>
      <c r="X1387" s="186"/>
      <c r="Y1387" s="178" t="str">
        <f t="shared" si="72"/>
        <v/>
      </c>
      <c r="Z1387" s="178" t="str">
        <f t="shared" si="73"/>
        <v/>
      </c>
      <c r="AA1387" s="44"/>
      <c r="AB1387" s="65"/>
      <c r="AC1387" s="40"/>
    </row>
    <row r="1388" spans="1:29" hidden="1">
      <c r="A1388" s="751">
        <v>59032</v>
      </c>
      <c r="B1388" s="752" t="s">
        <v>35</v>
      </c>
      <c r="C1388" s="751" t="s">
        <v>2960</v>
      </c>
      <c r="D1388" s="752" t="s">
        <v>1739</v>
      </c>
      <c r="E1388" s="752" t="s">
        <v>1735</v>
      </c>
      <c r="F1388" s="751">
        <v>58871</v>
      </c>
      <c r="G1388" s="752" t="s">
        <v>83</v>
      </c>
      <c r="H1388" s="752" t="s">
        <v>1245</v>
      </c>
      <c r="I1388" s="752" t="s">
        <v>60</v>
      </c>
      <c r="J1388" s="751">
        <v>22</v>
      </c>
      <c r="K1388" s="751">
        <v>2</v>
      </c>
      <c r="L1388" s="752" t="s">
        <v>54</v>
      </c>
      <c r="M1388" s="752" t="s">
        <v>468</v>
      </c>
      <c r="N1388" s="752" t="s">
        <v>469</v>
      </c>
      <c r="O1388" s="752" t="s">
        <v>469</v>
      </c>
      <c r="P1388" s="752" t="s">
        <v>1238</v>
      </c>
      <c r="Q1388" s="753">
        <v>0</v>
      </c>
      <c r="R1388" s="753">
        <v>0</v>
      </c>
      <c r="S1388" s="753">
        <v>31075</v>
      </c>
      <c r="T1388" s="753">
        <v>31075</v>
      </c>
      <c r="U1388" s="753">
        <v>3490</v>
      </c>
      <c r="V1388" s="751">
        <v>2019</v>
      </c>
      <c r="W1388" s="222"/>
      <c r="X1388" s="186"/>
      <c r="Y1388" s="178" t="str">
        <f t="shared" si="72"/>
        <v/>
      </c>
      <c r="Z1388" s="178" t="str">
        <f t="shared" si="73"/>
        <v/>
      </c>
      <c r="AA1388" s="44"/>
      <c r="AB1388" s="65"/>
      <c r="AC1388" s="40"/>
    </row>
    <row r="1389" spans="1:29" hidden="1">
      <c r="A1389" s="751">
        <v>59033</v>
      </c>
      <c r="B1389" s="752" t="s">
        <v>35</v>
      </c>
      <c r="C1389" s="751" t="s">
        <v>2960</v>
      </c>
      <c r="D1389" s="752" t="s">
        <v>1740</v>
      </c>
      <c r="E1389" s="752" t="s">
        <v>1735</v>
      </c>
      <c r="F1389" s="751">
        <v>58871</v>
      </c>
      <c r="G1389" s="752" t="s">
        <v>83</v>
      </c>
      <c r="H1389" s="752" t="s">
        <v>1245</v>
      </c>
      <c r="I1389" s="752" t="s">
        <v>60</v>
      </c>
      <c r="J1389" s="751">
        <v>22</v>
      </c>
      <c r="K1389" s="751">
        <v>2</v>
      </c>
      <c r="L1389" s="752" t="s">
        <v>54</v>
      </c>
      <c r="M1389" s="752" t="s">
        <v>468</v>
      </c>
      <c r="N1389" s="752" t="s">
        <v>469</v>
      </c>
      <c r="O1389" s="752" t="s">
        <v>469</v>
      </c>
      <c r="P1389" s="752" t="s">
        <v>1238</v>
      </c>
      <c r="Q1389" s="753">
        <v>0</v>
      </c>
      <c r="R1389" s="753">
        <v>0</v>
      </c>
      <c r="S1389" s="753">
        <v>19135</v>
      </c>
      <c r="T1389" s="753">
        <v>19135</v>
      </c>
      <c r="U1389" s="753">
        <v>2149</v>
      </c>
      <c r="V1389" s="751">
        <v>2019</v>
      </c>
      <c r="W1389" s="222"/>
      <c r="X1389" s="186"/>
      <c r="Y1389" s="178" t="str">
        <f t="shared" si="72"/>
        <v/>
      </c>
      <c r="Z1389" s="178" t="str">
        <f t="shared" si="73"/>
        <v/>
      </c>
      <c r="AA1389" s="44"/>
      <c r="AB1389" s="65"/>
      <c r="AC1389" s="40"/>
    </row>
    <row r="1390" spans="1:29" hidden="1">
      <c r="A1390" s="751">
        <v>59040</v>
      </c>
      <c r="B1390" s="752" t="s">
        <v>35</v>
      </c>
      <c r="C1390" s="751" t="s">
        <v>2960</v>
      </c>
      <c r="D1390" s="752" t="s">
        <v>2043</v>
      </c>
      <c r="E1390" s="752" t="s">
        <v>2044</v>
      </c>
      <c r="F1390" s="751">
        <v>58877</v>
      </c>
      <c r="G1390" s="752" t="s">
        <v>91</v>
      </c>
      <c r="H1390" s="752" t="s">
        <v>1245</v>
      </c>
      <c r="I1390" s="752" t="s">
        <v>60</v>
      </c>
      <c r="J1390" s="751">
        <v>22</v>
      </c>
      <c r="K1390" s="751">
        <v>2</v>
      </c>
      <c r="L1390" s="752" t="s">
        <v>54</v>
      </c>
      <c r="M1390" s="752" t="s">
        <v>37</v>
      </c>
      <c r="N1390" s="752" t="s">
        <v>38</v>
      </c>
      <c r="O1390" s="752" t="s">
        <v>39</v>
      </c>
      <c r="P1390" s="752" t="s">
        <v>1238</v>
      </c>
      <c r="Q1390" s="753">
        <v>0</v>
      </c>
      <c r="R1390" s="753">
        <v>0</v>
      </c>
      <c r="S1390" s="753">
        <v>29073</v>
      </c>
      <c r="T1390" s="753">
        <v>29073</v>
      </c>
      <c r="U1390" s="753">
        <v>3265</v>
      </c>
      <c r="V1390" s="751">
        <v>2019</v>
      </c>
      <c r="W1390" s="222"/>
      <c r="X1390" s="186"/>
      <c r="Y1390" s="178" t="str">
        <f t="shared" si="72"/>
        <v/>
      </c>
      <c r="Z1390" s="178" t="str">
        <f t="shared" si="73"/>
        <v/>
      </c>
      <c r="AA1390" s="44"/>
      <c r="AB1390" s="65"/>
      <c r="AC1390" s="40"/>
    </row>
    <row r="1391" spans="1:29" ht="25" hidden="1">
      <c r="A1391" s="751">
        <v>59043</v>
      </c>
      <c r="B1391" s="752" t="s">
        <v>35</v>
      </c>
      <c r="C1391" s="751" t="s">
        <v>2960</v>
      </c>
      <c r="D1391" s="752" t="s">
        <v>1741</v>
      </c>
      <c r="E1391" s="752" t="s">
        <v>1742</v>
      </c>
      <c r="F1391" s="751">
        <v>58682</v>
      </c>
      <c r="G1391" s="752" t="s">
        <v>136</v>
      </c>
      <c r="H1391" s="752" t="s">
        <v>1245</v>
      </c>
      <c r="I1391" s="752" t="s">
        <v>60</v>
      </c>
      <c r="J1391" s="751">
        <v>22</v>
      </c>
      <c r="K1391" s="751">
        <v>2</v>
      </c>
      <c r="L1391" s="752" t="s">
        <v>54</v>
      </c>
      <c r="M1391" s="752" t="s">
        <v>468</v>
      </c>
      <c r="N1391" s="752" t="s">
        <v>469</v>
      </c>
      <c r="O1391" s="752" t="s">
        <v>469</v>
      </c>
      <c r="P1391" s="752" t="s">
        <v>1238</v>
      </c>
      <c r="Q1391" s="753">
        <v>0</v>
      </c>
      <c r="R1391" s="753">
        <v>0</v>
      </c>
      <c r="S1391" s="753">
        <v>25652</v>
      </c>
      <c r="T1391" s="753">
        <v>25652</v>
      </c>
      <c r="U1391" s="753">
        <v>2881</v>
      </c>
      <c r="V1391" s="751">
        <v>2019</v>
      </c>
      <c r="W1391" s="222"/>
      <c r="X1391" s="186"/>
      <c r="Y1391" s="178" t="str">
        <f t="shared" si="72"/>
        <v/>
      </c>
      <c r="Z1391" s="178" t="str">
        <f t="shared" si="73"/>
        <v/>
      </c>
      <c r="AA1391" s="44"/>
      <c r="AB1391" s="65"/>
      <c r="AC1391" s="40"/>
    </row>
    <row r="1392" spans="1:29" hidden="1">
      <c r="A1392" s="751">
        <v>59046</v>
      </c>
      <c r="B1392" s="752" t="s">
        <v>35</v>
      </c>
      <c r="C1392" s="751" t="s">
        <v>2960</v>
      </c>
      <c r="D1392" s="752" t="s">
        <v>1806</v>
      </c>
      <c r="E1392" s="752" t="s">
        <v>1807</v>
      </c>
      <c r="F1392" s="751">
        <v>58879</v>
      </c>
      <c r="G1392" s="752" t="s">
        <v>83</v>
      </c>
      <c r="H1392" s="752" t="s">
        <v>1245</v>
      </c>
      <c r="I1392" s="752" t="s">
        <v>60</v>
      </c>
      <c r="J1392" s="751">
        <v>22</v>
      </c>
      <c r="K1392" s="751">
        <v>2</v>
      </c>
      <c r="L1392" s="752" t="s">
        <v>54</v>
      </c>
      <c r="M1392" s="752" t="s">
        <v>468</v>
      </c>
      <c r="N1392" s="752" t="s">
        <v>469</v>
      </c>
      <c r="O1392" s="752" t="s">
        <v>469</v>
      </c>
      <c r="P1392" s="752" t="s">
        <v>1238</v>
      </c>
      <c r="Q1392" s="753">
        <v>0</v>
      </c>
      <c r="R1392" s="753">
        <v>0</v>
      </c>
      <c r="S1392" s="753">
        <v>36665</v>
      </c>
      <c r="T1392" s="753">
        <v>36665</v>
      </c>
      <c r="U1392" s="753">
        <v>4118</v>
      </c>
      <c r="V1392" s="751">
        <v>2019</v>
      </c>
      <c r="W1392" s="222"/>
      <c r="X1392" s="186"/>
      <c r="Y1392" s="178" t="str">
        <f t="shared" si="72"/>
        <v/>
      </c>
      <c r="Z1392" s="178" t="str">
        <f t="shared" si="73"/>
        <v/>
      </c>
      <c r="AA1392" s="44"/>
      <c r="AB1392" s="65"/>
      <c r="AC1392" s="40"/>
    </row>
    <row r="1393" spans="1:29" hidden="1">
      <c r="A1393" s="751">
        <v>59049</v>
      </c>
      <c r="B1393" s="752" t="s">
        <v>35</v>
      </c>
      <c r="C1393" s="751" t="s">
        <v>2960</v>
      </c>
      <c r="D1393" s="752" t="s">
        <v>1808</v>
      </c>
      <c r="E1393" s="752" t="s">
        <v>1809</v>
      </c>
      <c r="F1393" s="751">
        <v>58883</v>
      </c>
      <c r="G1393" s="752" t="s">
        <v>91</v>
      </c>
      <c r="H1393" s="752" t="s">
        <v>1245</v>
      </c>
      <c r="I1393" s="752" t="s">
        <v>60</v>
      </c>
      <c r="J1393" s="751">
        <v>22</v>
      </c>
      <c r="K1393" s="751">
        <v>2</v>
      </c>
      <c r="L1393" s="752" t="s">
        <v>54</v>
      </c>
      <c r="M1393" s="752" t="s">
        <v>468</v>
      </c>
      <c r="N1393" s="752" t="s">
        <v>469</v>
      </c>
      <c r="O1393" s="752" t="s">
        <v>469</v>
      </c>
      <c r="P1393" s="752" t="s">
        <v>1238</v>
      </c>
      <c r="Q1393" s="753">
        <v>0</v>
      </c>
      <c r="R1393" s="753">
        <v>0</v>
      </c>
      <c r="S1393" s="753">
        <v>31055</v>
      </c>
      <c r="T1393" s="753">
        <v>31055</v>
      </c>
      <c r="U1393" s="753">
        <v>3488</v>
      </c>
      <c r="V1393" s="751">
        <v>2019</v>
      </c>
      <c r="W1393" s="222"/>
      <c r="X1393" s="186"/>
      <c r="Y1393" s="178" t="str">
        <f t="shared" si="72"/>
        <v/>
      </c>
      <c r="Z1393" s="178" t="str">
        <f t="shared" si="73"/>
        <v/>
      </c>
      <c r="AA1393" s="44"/>
      <c r="AB1393" s="65"/>
      <c r="AC1393" s="40"/>
    </row>
    <row r="1394" spans="1:29" hidden="1">
      <c r="A1394" s="751">
        <v>59060</v>
      </c>
      <c r="B1394" s="752" t="s">
        <v>35</v>
      </c>
      <c r="C1394" s="751" t="s">
        <v>2960</v>
      </c>
      <c r="D1394" s="752" t="s">
        <v>1743</v>
      </c>
      <c r="E1394" s="752" t="s">
        <v>1744</v>
      </c>
      <c r="F1394" s="751">
        <v>58888</v>
      </c>
      <c r="G1394" s="752" t="s">
        <v>83</v>
      </c>
      <c r="H1394" s="752" t="s">
        <v>1245</v>
      </c>
      <c r="I1394" s="752" t="s">
        <v>60</v>
      </c>
      <c r="J1394" s="751">
        <v>22</v>
      </c>
      <c r="K1394" s="751">
        <v>2</v>
      </c>
      <c r="L1394" s="752" t="s">
        <v>54</v>
      </c>
      <c r="M1394" s="752" t="s">
        <v>468</v>
      </c>
      <c r="N1394" s="752" t="s">
        <v>469</v>
      </c>
      <c r="O1394" s="752" t="s">
        <v>469</v>
      </c>
      <c r="P1394" s="752" t="s">
        <v>1238</v>
      </c>
      <c r="Q1394" s="753">
        <v>0</v>
      </c>
      <c r="R1394" s="753">
        <v>0</v>
      </c>
      <c r="S1394" s="753">
        <v>17470</v>
      </c>
      <c r="T1394" s="753">
        <v>17470</v>
      </c>
      <c r="U1394" s="753">
        <v>1962</v>
      </c>
      <c r="V1394" s="751">
        <v>2019</v>
      </c>
      <c r="W1394" s="222"/>
      <c r="X1394" s="186"/>
      <c r="Y1394" s="178" t="str">
        <f t="shared" si="72"/>
        <v/>
      </c>
      <c r="Z1394" s="178" t="str">
        <f t="shared" si="73"/>
        <v/>
      </c>
      <c r="AA1394" s="44"/>
      <c r="AB1394" s="65"/>
      <c r="AC1394" s="40"/>
    </row>
    <row r="1395" spans="1:29" hidden="1">
      <c r="A1395" s="751">
        <v>59070</v>
      </c>
      <c r="B1395" s="752" t="s">
        <v>35</v>
      </c>
      <c r="C1395" s="751" t="s">
        <v>2960</v>
      </c>
      <c r="D1395" s="752" t="s">
        <v>2045</v>
      </c>
      <c r="E1395" s="752" t="s">
        <v>2046</v>
      </c>
      <c r="F1395" s="751">
        <v>58891</v>
      </c>
      <c r="G1395" s="752" t="s">
        <v>98</v>
      </c>
      <c r="H1395" s="752" t="s">
        <v>1245</v>
      </c>
      <c r="I1395" s="752" t="s">
        <v>60</v>
      </c>
      <c r="J1395" s="751">
        <v>22</v>
      </c>
      <c r="K1395" s="751">
        <v>2</v>
      </c>
      <c r="L1395" s="752" t="s">
        <v>54</v>
      </c>
      <c r="M1395" s="752" t="s">
        <v>73</v>
      </c>
      <c r="N1395" s="752" t="s">
        <v>74</v>
      </c>
      <c r="O1395" s="752" t="s">
        <v>74</v>
      </c>
      <c r="P1395" s="752" t="s">
        <v>1238</v>
      </c>
      <c r="Q1395" s="753">
        <v>0</v>
      </c>
      <c r="R1395" s="753">
        <v>0</v>
      </c>
      <c r="S1395" s="753">
        <v>178899</v>
      </c>
      <c r="T1395" s="753">
        <v>178899</v>
      </c>
      <c r="U1395" s="753">
        <v>20092</v>
      </c>
      <c r="V1395" s="751">
        <v>2019</v>
      </c>
      <c r="W1395" s="222"/>
      <c r="X1395" s="186"/>
      <c r="Y1395" s="178" t="str">
        <f t="shared" si="72"/>
        <v/>
      </c>
      <c r="Z1395" s="178" t="str">
        <f t="shared" si="73"/>
        <v/>
      </c>
      <c r="AA1395" s="44"/>
      <c r="AB1395" s="65"/>
      <c r="AC1395" s="40"/>
    </row>
    <row r="1396" spans="1:29" hidden="1">
      <c r="A1396" s="751">
        <v>59075</v>
      </c>
      <c r="B1396" s="752" t="s">
        <v>35</v>
      </c>
      <c r="C1396" s="751" t="s">
        <v>2960</v>
      </c>
      <c r="D1396" s="752" t="s">
        <v>1810</v>
      </c>
      <c r="E1396" s="752" t="s">
        <v>1811</v>
      </c>
      <c r="F1396" s="751">
        <v>58894</v>
      </c>
      <c r="G1396" s="752" t="s">
        <v>83</v>
      </c>
      <c r="H1396" s="752" t="s">
        <v>1245</v>
      </c>
      <c r="I1396" s="752" t="s">
        <v>60</v>
      </c>
      <c r="J1396" s="751">
        <v>22</v>
      </c>
      <c r="K1396" s="751">
        <v>2</v>
      </c>
      <c r="L1396" s="752" t="s">
        <v>54</v>
      </c>
      <c r="M1396" s="752" t="s">
        <v>468</v>
      </c>
      <c r="N1396" s="752" t="s">
        <v>469</v>
      </c>
      <c r="O1396" s="752" t="s">
        <v>469</v>
      </c>
      <c r="P1396" s="752" t="s">
        <v>1238</v>
      </c>
      <c r="Q1396" s="753">
        <v>0</v>
      </c>
      <c r="R1396" s="753">
        <v>0</v>
      </c>
      <c r="S1396" s="753">
        <v>13383</v>
      </c>
      <c r="T1396" s="753">
        <v>13383</v>
      </c>
      <c r="U1396" s="753">
        <v>1503</v>
      </c>
      <c r="V1396" s="751">
        <v>2019</v>
      </c>
      <c r="W1396" s="222"/>
      <c r="X1396" s="186"/>
      <c r="Y1396" s="178" t="str">
        <f t="shared" si="72"/>
        <v/>
      </c>
      <c r="Z1396" s="178" t="str">
        <f t="shared" si="73"/>
        <v/>
      </c>
      <c r="AA1396" s="44"/>
      <c r="AB1396" s="65"/>
      <c r="AC1396" s="40"/>
    </row>
    <row r="1397" spans="1:29" hidden="1">
      <c r="A1397" s="751">
        <v>59077</v>
      </c>
      <c r="B1397" s="752" t="s">
        <v>35</v>
      </c>
      <c r="C1397" s="751" t="s">
        <v>2960</v>
      </c>
      <c r="D1397" s="752" t="s">
        <v>1812</v>
      </c>
      <c r="E1397" s="752" t="s">
        <v>1811</v>
      </c>
      <c r="F1397" s="751">
        <v>58894</v>
      </c>
      <c r="G1397" s="752" t="s">
        <v>83</v>
      </c>
      <c r="H1397" s="752" t="s">
        <v>1245</v>
      </c>
      <c r="I1397" s="752" t="s">
        <v>60</v>
      </c>
      <c r="J1397" s="751">
        <v>22</v>
      </c>
      <c r="K1397" s="751">
        <v>2</v>
      </c>
      <c r="L1397" s="752" t="s">
        <v>54</v>
      </c>
      <c r="M1397" s="752" t="s">
        <v>468</v>
      </c>
      <c r="N1397" s="752" t="s">
        <v>469</v>
      </c>
      <c r="O1397" s="752" t="s">
        <v>469</v>
      </c>
      <c r="P1397" s="752" t="s">
        <v>1238</v>
      </c>
      <c r="Q1397" s="753">
        <v>0</v>
      </c>
      <c r="R1397" s="753">
        <v>0</v>
      </c>
      <c r="S1397" s="753">
        <v>20560</v>
      </c>
      <c r="T1397" s="753">
        <v>20560</v>
      </c>
      <c r="U1397" s="753">
        <v>2309</v>
      </c>
      <c r="V1397" s="751">
        <v>2019</v>
      </c>
      <c r="W1397" s="222"/>
      <c r="X1397" s="186"/>
      <c r="Y1397" s="86" t="str">
        <f t="shared" si="72"/>
        <v/>
      </c>
      <c r="Z1397" s="86" t="str">
        <f t="shared" si="73"/>
        <v/>
      </c>
      <c r="AA1397" s="44"/>
      <c r="AB1397" s="65"/>
      <c r="AC1397" s="40"/>
    </row>
    <row r="1398" spans="1:29" hidden="1">
      <c r="A1398" s="751">
        <v>59078</v>
      </c>
      <c r="B1398" s="752" t="s">
        <v>35</v>
      </c>
      <c r="C1398" s="751" t="s">
        <v>2960</v>
      </c>
      <c r="D1398" s="752" t="s">
        <v>1813</v>
      </c>
      <c r="E1398" s="752" t="s">
        <v>1811</v>
      </c>
      <c r="F1398" s="751">
        <v>58894</v>
      </c>
      <c r="G1398" s="752" t="s">
        <v>83</v>
      </c>
      <c r="H1398" s="752" t="s">
        <v>1245</v>
      </c>
      <c r="I1398" s="752" t="s">
        <v>60</v>
      </c>
      <c r="J1398" s="751">
        <v>22</v>
      </c>
      <c r="K1398" s="751">
        <v>2</v>
      </c>
      <c r="L1398" s="752" t="s">
        <v>54</v>
      </c>
      <c r="M1398" s="752" t="s">
        <v>468</v>
      </c>
      <c r="N1398" s="752" t="s">
        <v>469</v>
      </c>
      <c r="O1398" s="752" t="s">
        <v>469</v>
      </c>
      <c r="P1398" s="752" t="s">
        <v>1238</v>
      </c>
      <c r="Q1398" s="753">
        <v>0</v>
      </c>
      <c r="R1398" s="753">
        <v>0</v>
      </c>
      <c r="S1398" s="753">
        <v>51003</v>
      </c>
      <c r="T1398" s="753">
        <v>51003</v>
      </c>
      <c r="U1398" s="753">
        <v>5728</v>
      </c>
      <c r="V1398" s="751">
        <v>2019</v>
      </c>
      <c r="W1398" s="222"/>
      <c r="X1398" s="186"/>
      <c r="Y1398" s="178" t="str">
        <f t="shared" si="72"/>
        <v/>
      </c>
      <c r="Z1398" s="178" t="str">
        <f t="shared" si="73"/>
        <v/>
      </c>
      <c r="AA1398" s="44"/>
      <c r="AB1398" s="65"/>
      <c r="AC1398" s="40"/>
    </row>
    <row r="1399" spans="1:29" hidden="1">
      <c r="A1399" s="751">
        <v>59079</v>
      </c>
      <c r="B1399" s="752" t="s">
        <v>35</v>
      </c>
      <c r="C1399" s="751" t="s">
        <v>2960</v>
      </c>
      <c r="D1399" s="752" t="s">
        <v>1814</v>
      </c>
      <c r="E1399" s="752" t="s">
        <v>1811</v>
      </c>
      <c r="F1399" s="751">
        <v>58894</v>
      </c>
      <c r="G1399" s="752" t="s">
        <v>83</v>
      </c>
      <c r="H1399" s="752" t="s">
        <v>1245</v>
      </c>
      <c r="I1399" s="752" t="s">
        <v>60</v>
      </c>
      <c r="J1399" s="751">
        <v>22</v>
      </c>
      <c r="K1399" s="751">
        <v>2</v>
      </c>
      <c r="L1399" s="752" t="s">
        <v>54</v>
      </c>
      <c r="M1399" s="752" t="s">
        <v>468</v>
      </c>
      <c r="N1399" s="752" t="s">
        <v>469</v>
      </c>
      <c r="O1399" s="752" t="s">
        <v>469</v>
      </c>
      <c r="P1399" s="752" t="s">
        <v>1238</v>
      </c>
      <c r="Q1399" s="753">
        <v>0</v>
      </c>
      <c r="R1399" s="753">
        <v>0</v>
      </c>
      <c r="S1399" s="753">
        <v>12919</v>
      </c>
      <c r="T1399" s="753">
        <v>12919</v>
      </c>
      <c r="U1399" s="753">
        <v>1451</v>
      </c>
      <c r="V1399" s="751">
        <v>2019</v>
      </c>
      <c r="W1399" s="222"/>
      <c r="X1399" s="186"/>
      <c r="Y1399" s="178" t="str">
        <f t="shared" si="72"/>
        <v/>
      </c>
      <c r="Z1399" s="178" t="str">
        <f t="shared" si="73"/>
        <v/>
      </c>
      <c r="AA1399" s="44"/>
      <c r="AB1399" s="65"/>
      <c r="AC1399" s="40"/>
    </row>
    <row r="1400" spans="1:29" hidden="1">
      <c r="A1400" s="751">
        <v>59080</v>
      </c>
      <c r="B1400" s="752" t="s">
        <v>35</v>
      </c>
      <c r="C1400" s="751" t="s">
        <v>2960</v>
      </c>
      <c r="D1400" s="752" t="s">
        <v>1815</v>
      </c>
      <c r="E1400" s="752" t="s">
        <v>1811</v>
      </c>
      <c r="F1400" s="751">
        <v>58894</v>
      </c>
      <c r="G1400" s="752" t="s">
        <v>83</v>
      </c>
      <c r="H1400" s="752" t="s">
        <v>1245</v>
      </c>
      <c r="I1400" s="752" t="s">
        <v>60</v>
      </c>
      <c r="J1400" s="751">
        <v>22</v>
      </c>
      <c r="K1400" s="751">
        <v>2</v>
      </c>
      <c r="L1400" s="752" t="s">
        <v>54</v>
      </c>
      <c r="M1400" s="752" t="s">
        <v>468</v>
      </c>
      <c r="N1400" s="752" t="s">
        <v>469</v>
      </c>
      <c r="O1400" s="752" t="s">
        <v>469</v>
      </c>
      <c r="P1400" s="752" t="s">
        <v>1238</v>
      </c>
      <c r="Q1400" s="753">
        <v>0</v>
      </c>
      <c r="R1400" s="753">
        <v>0</v>
      </c>
      <c r="S1400" s="753">
        <v>10043</v>
      </c>
      <c r="T1400" s="753">
        <v>10043</v>
      </c>
      <c r="U1400" s="753">
        <v>1128</v>
      </c>
      <c r="V1400" s="751">
        <v>2019</v>
      </c>
      <c r="W1400" s="222"/>
      <c r="X1400" s="186"/>
      <c r="Y1400" s="178" t="str">
        <f t="shared" si="72"/>
        <v/>
      </c>
      <c r="Z1400" s="178" t="str">
        <f t="shared" si="73"/>
        <v/>
      </c>
      <c r="AA1400" s="44"/>
      <c r="AB1400" s="65"/>
      <c r="AC1400" s="40"/>
    </row>
    <row r="1401" spans="1:29" hidden="1">
      <c r="A1401" s="751">
        <v>59081</v>
      </c>
      <c r="B1401" s="752" t="s">
        <v>35</v>
      </c>
      <c r="C1401" s="751" t="s">
        <v>2960</v>
      </c>
      <c r="D1401" s="752" t="s">
        <v>1816</v>
      </c>
      <c r="E1401" s="752" t="s">
        <v>1811</v>
      </c>
      <c r="F1401" s="751">
        <v>58894</v>
      </c>
      <c r="G1401" s="752" t="s">
        <v>83</v>
      </c>
      <c r="H1401" s="752" t="s">
        <v>1245</v>
      </c>
      <c r="I1401" s="752" t="s">
        <v>60</v>
      </c>
      <c r="J1401" s="751">
        <v>22</v>
      </c>
      <c r="K1401" s="751">
        <v>2</v>
      </c>
      <c r="L1401" s="752" t="s">
        <v>54</v>
      </c>
      <c r="M1401" s="752" t="s">
        <v>468</v>
      </c>
      <c r="N1401" s="752" t="s">
        <v>469</v>
      </c>
      <c r="O1401" s="752" t="s">
        <v>469</v>
      </c>
      <c r="P1401" s="752" t="s">
        <v>1238</v>
      </c>
      <c r="Q1401" s="753">
        <v>0</v>
      </c>
      <c r="R1401" s="753">
        <v>0</v>
      </c>
      <c r="S1401" s="753">
        <v>43594</v>
      </c>
      <c r="T1401" s="753">
        <v>43594</v>
      </c>
      <c r="U1401" s="753">
        <v>4896</v>
      </c>
      <c r="V1401" s="751">
        <v>2019</v>
      </c>
      <c r="W1401" s="222"/>
      <c r="X1401" s="186"/>
      <c r="Y1401" s="178" t="str">
        <f t="shared" si="72"/>
        <v/>
      </c>
      <c r="Z1401" s="178" t="str">
        <f t="shared" si="73"/>
        <v/>
      </c>
      <c r="AA1401" s="44"/>
      <c r="AB1401" s="65"/>
      <c r="AC1401" s="40"/>
    </row>
    <row r="1402" spans="1:29" hidden="1">
      <c r="A1402" s="751">
        <v>59082</v>
      </c>
      <c r="B1402" s="752" t="s">
        <v>35</v>
      </c>
      <c r="C1402" s="751" t="s">
        <v>2960</v>
      </c>
      <c r="D1402" s="752" t="s">
        <v>1817</v>
      </c>
      <c r="E1402" s="752" t="s">
        <v>1811</v>
      </c>
      <c r="F1402" s="751">
        <v>58894</v>
      </c>
      <c r="G1402" s="752" t="s">
        <v>83</v>
      </c>
      <c r="H1402" s="752" t="s">
        <v>1245</v>
      </c>
      <c r="I1402" s="752" t="s">
        <v>60</v>
      </c>
      <c r="J1402" s="751">
        <v>22</v>
      </c>
      <c r="K1402" s="751">
        <v>2</v>
      </c>
      <c r="L1402" s="752" t="s">
        <v>54</v>
      </c>
      <c r="M1402" s="752" t="s">
        <v>468</v>
      </c>
      <c r="N1402" s="752" t="s">
        <v>469</v>
      </c>
      <c r="O1402" s="752" t="s">
        <v>469</v>
      </c>
      <c r="P1402" s="752" t="s">
        <v>1238</v>
      </c>
      <c r="Q1402" s="753">
        <v>0</v>
      </c>
      <c r="R1402" s="753">
        <v>0</v>
      </c>
      <c r="S1402" s="753">
        <v>64812</v>
      </c>
      <c r="T1402" s="753">
        <v>64812</v>
      </c>
      <c r="U1402" s="753">
        <v>7279</v>
      </c>
      <c r="V1402" s="751">
        <v>2019</v>
      </c>
      <c r="W1402" s="222"/>
      <c r="X1402" s="186"/>
      <c r="Y1402" s="178" t="str">
        <f t="shared" si="72"/>
        <v/>
      </c>
      <c r="Z1402" s="178" t="str">
        <f t="shared" si="73"/>
        <v/>
      </c>
      <c r="AA1402" s="44"/>
      <c r="AB1402" s="65"/>
      <c r="AC1402" s="40"/>
    </row>
    <row r="1403" spans="1:29" ht="25" hidden="1">
      <c r="A1403" s="751">
        <v>59085</v>
      </c>
      <c r="B1403" s="752" t="s">
        <v>35</v>
      </c>
      <c r="C1403" s="751" t="s">
        <v>2960</v>
      </c>
      <c r="D1403" s="752" t="s">
        <v>1818</v>
      </c>
      <c r="E1403" s="752" t="s">
        <v>1819</v>
      </c>
      <c r="F1403" s="751">
        <v>57170</v>
      </c>
      <c r="G1403" s="752" t="s">
        <v>83</v>
      </c>
      <c r="H1403" s="752" t="s">
        <v>1245</v>
      </c>
      <c r="I1403" s="752" t="s">
        <v>60</v>
      </c>
      <c r="J1403" s="751">
        <v>22</v>
      </c>
      <c r="K1403" s="751">
        <v>2</v>
      </c>
      <c r="L1403" s="752" t="s">
        <v>54</v>
      </c>
      <c r="M1403" s="752" t="s">
        <v>468</v>
      </c>
      <c r="N1403" s="752" t="s">
        <v>469</v>
      </c>
      <c r="O1403" s="752" t="s">
        <v>469</v>
      </c>
      <c r="P1403" s="752" t="s">
        <v>1238</v>
      </c>
      <c r="Q1403" s="753">
        <v>0</v>
      </c>
      <c r="R1403" s="753">
        <v>0</v>
      </c>
      <c r="S1403" s="753">
        <v>70590</v>
      </c>
      <c r="T1403" s="753">
        <v>70590</v>
      </c>
      <c r="U1403" s="753">
        <v>7928</v>
      </c>
      <c r="V1403" s="751">
        <v>2019</v>
      </c>
      <c r="W1403" s="222"/>
      <c r="X1403" s="186"/>
      <c r="Y1403" s="178" t="str">
        <f t="shared" si="72"/>
        <v/>
      </c>
      <c r="Z1403" s="178" t="str">
        <f t="shared" si="73"/>
        <v/>
      </c>
      <c r="AA1403" s="44"/>
      <c r="AB1403" s="65"/>
      <c r="AC1403" s="40"/>
    </row>
    <row r="1404" spans="1:29" hidden="1">
      <c r="A1404" s="751">
        <v>59090</v>
      </c>
      <c r="B1404" s="752" t="s">
        <v>35</v>
      </c>
      <c r="C1404" s="751" t="s">
        <v>2960</v>
      </c>
      <c r="D1404" s="752" t="s">
        <v>2475</v>
      </c>
      <c r="E1404" s="752" t="s">
        <v>2495</v>
      </c>
      <c r="F1404" s="751">
        <v>61944</v>
      </c>
      <c r="G1404" s="752" t="s">
        <v>83</v>
      </c>
      <c r="H1404" s="752" t="s">
        <v>1245</v>
      </c>
      <c r="I1404" s="752" t="s">
        <v>60</v>
      </c>
      <c r="J1404" s="751">
        <v>22</v>
      </c>
      <c r="K1404" s="751">
        <v>2</v>
      </c>
      <c r="L1404" s="752" t="s">
        <v>54</v>
      </c>
      <c r="M1404" s="752" t="s">
        <v>468</v>
      </c>
      <c r="N1404" s="752" t="s">
        <v>469</v>
      </c>
      <c r="O1404" s="752" t="s">
        <v>469</v>
      </c>
      <c r="P1404" s="752" t="s">
        <v>1238</v>
      </c>
      <c r="Q1404" s="753">
        <v>0</v>
      </c>
      <c r="R1404" s="753">
        <v>0</v>
      </c>
      <c r="S1404" s="753">
        <v>26204</v>
      </c>
      <c r="T1404" s="753">
        <v>26204</v>
      </c>
      <c r="U1404" s="753">
        <v>2943</v>
      </c>
      <c r="V1404" s="751">
        <v>2019</v>
      </c>
      <c r="W1404" s="222"/>
      <c r="X1404" s="186"/>
      <c r="Y1404" s="178" t="str">
        <f t="shared" si="72"/>
        <v/>
      </c>
      <c r="Z1404" s="178" t="str">
        <f t="shared" si="73"/>
        <v/>
      </c>
      <c r="AA1404" s="44"/>
      <c r="AB1404" s="65"/>
      <c r="AC1404" s="40"/>
    </row>
    <row r="1405" spans="1:29" hidden="1">
      <c r="A1405" s="751">
        <v>59121</v>
      </c>
      <c r="B1405" s="752" t="s">
        <v>35</v>
      </c>
      <c r="C1405" s="751" t="s">
        <v>2960</v>
      </c>
      <c r="D1405" s="752" t="s">
        <v>1745</v>
      </c>
      <c r="E1405" s="752" t="s">
        <v>2038</v>
      </c>
      <c r="F1405" s="751">
        <v>59622</v>
      </c>
      <c r="G1405" s="752" t="s">
        <v>83</v>
      </c>
      <c r="H1405" s="752" t="s">
        <v>1245</v>
      </c>
      <c r="I1405" s="752" t="s">
        <v>60</v>
      </c>
      <c r="J1405" s="751">
        <v>22</v>
      </c>
      <c r="K1405" s="751">
        <v>2</v>
      </c>
      <c r="L1405" s="752" t="s">
        <v>54</v>
      </c>
      <c r="M1405" s="752" t="s">
        <v>468</v>
      </c>
      <c r="N1405" s="752" t="s">
        <v>469</v>
      </c>
      <c r="O1405" s="752" t="s">
        <v>469</v>
      </c>
      <c r="P1405" s="752" t="s">
        <v>1238</v>
      </c>
      <c r="Q1405" s="753">
        <v>0</v>
      </c>
      <c r="R1405" s="753">
        <v>0</v>
      </c>
      <c r="S1405" s="753">
        <v>21709</v>
      </c>
      <c r="T1405" s="753">
        <v>21709</v>
      </c>
      <c r="U1405" s="753">
        <v>2438</v>
      </c>
      <c r="V1405" s="751">
        <v>2019</v>
      </c>
      <c r="W1405" s="222"/>
      <c r="X1405" s="186"/>
      <c r="Y1405" s="178" t="str">
        <f t="shared" si="72"/>
        <v/>
      </c>
      <c r="Z1405" s="178" t="str">
        <f t="shared" si="73"/>
        <v/>
      </c>
      <c r="AA1405" s="44"/>
      <c r="AB1405" s="65"/>
      <c r="AC1405" s="40"/>
    </row>
    <row r="1406" spans="1:29" hidden="1">
      <c r="A1406" s="751">
        <v>59128</v>
      </c>
      <c r="B1406" s="752" t="s">
        <v>35</v>
      </c>
      <c r="C1406" s="751" t="s">
        <v>2960</v>
      </c>
      <c r="D1406" s="752" t="s">
        <v>1746</v>
      </c>
      <c r="E1406" s="752" t="s">
        <v>2038</v>
      </c>
      <c r="F1406" s="751">
        <v>59622</v>
      </c>
      <c r="G1406" s="752" t="s">
        <v>83</v>
      </c>
      <c r="H1406" s="752" t="s">
        <v>1245</v>
      </c>
      <c r="I1406" s="752" t="s">
        <v>60</v>
      </c>
      <c r="J1406" s="751">
        <v>22</v>
      </c>
      <c r="K1406" s="751">
        <v>2</v>
      </c>
      <c r="L1406" s="752" t="s">
        <v>54</v>
      </c>
      <c r="M1406" s="752" t="s">
        <v>468</v>
      </c>
      <c r="N1406" s="752" t="s">
        <v>469</v>
      </c>
      <c r="O1406" s="752" t="s">
        <v>469</v>
      </c>
      <c r="P1406" s="752" t="s">
        <v>1238</v>
      </c>
      <c r="Q1406" s="753">
        <v>0</v>
      </c>
      <c r="R1406" s="753">
        <v>0</v>
      </c>
      <c r="S1406" s="753">
        <v>37441</v>
      </c>
      <c r="T1406" s="753">
        <v>37441</v>
      </c>
      <c r="U1406" s="753">
        <v>4205</v>
      </c>
      <c r="V1406" s="751">
        <v>2019</v>
      </c>
      <c r="W1406" s="222"/>
      <c r="X1406" s="186"/>
      <c r="Y1406" s="178" t="str">
        <f t="shared" si="72"/>
        <v/>
      </c>
      <c r="Z1406" s="178" t="str">
        <f t="shared" si="73"/>
        <v/>
      </c>
      <c r="AA1406" s="44"/>
      <c r="AB1406" s="65"/>
      <c r="AC1406" s="40"/>
    </row>
    <row r="1407" spans="1:29" hidden="1">
      <c r="A1407" s="751">
        <v>59131</v>
      </c>
      <c r="B1407" s="752" t="s">
        <v>35</v>
      </c>
      <c r="C1407" s="751" t="s">
        <v>2960</v>
      </c>
      <c r="D1407" s="752" t="s">
        <v>1747</v>
      </c>
      <c r="E1407" s="752" t="s">
        <v>2038</v>
      </c>
      <c r="F1407" s="751">
        <v>59622</v>
      </c>
      <c r="G1407" s="752" t="s">
        <v>83</v>
      </c>
      <c r="H1407" s="752" t="s">
        <v>1245</v>
      </c>
      <c r="I1407" s="752" t="s">
        <v>1748</v>
      </c>
      <c r="J1407" s="751">
        <v>22</v>
      </c>
      <c r="K1407" s="751">
        <v>2</v>
      </c>
      <c r="L1407" s="752" t="s">
        <v>54</v>
      </c>
      <c r="M1407" s="752" t="s">
        <v>468</v>
      </c>
      <c r="N1407" s="752" t="s">
        <v>469</v>
      </c>
      <c r="O1407" s="752" t="s">
        <v>469</v>
      </c>
      <c r="P1407" s="752" t="s">
        <v>1238</v>
      </c>
      <c r="Q1407" s="753">
        <v>0</v>
      </c>
      <c r="R1407" s="753">
        <v>0</v>
      </c>
      <c r="S1407" s="753">
        <v>14469</v>
      </c>
      <c r="T1407" s="753">
        <v>14469</v>
      </c>
      <c r="U1407" s="753">
        <v>1625</v>
      </c>
      <c r="V1407" s="751">
        <v>2019</v>
      </c>
      <c r="W1407" s="222"/>
      <c r="X1407" s="186"/>
      <c r="Y1407" s="178" t="str">
        <f t="shared" si="72"/>
        <v/>
      </c>
      <c r="Z1407" s="178" t="str">
        <f t="shared" si="73"/>
        <v/>
      </c>
      <c r="AA1407" s="44"/>
      <c r="AB1407" s="65"/>
      <c r="AC1407" s="40"/>
    </row>
    <row r="1408" spans="1:29" hidden="1">
      <c r="A1408" s="751">
        <v>59134</v>
      </c>
      <c r="B1408" s="752" t="s">
        <v>35</v>
      </c>
      <c r="C1408" s="751" t="s">
        <v>2960</v>
      </c>
      <c r="D1408" s="752" t="s">
        <v>1749</v>
      </c>
      <c r="E1408" s="752" t="s">
        <v>2038</v>
      </c>
      <c r="F1408" s="751">
        <v>59622</v>
      </c>
      <c r="G1408" s="752" t="s">
        <v>83</v>
      </c>
      <c r="H1408" s="752" t="s">
        <v>1245</v>
      </c>
      <c r="I1408" s="752" t="s">
        <v>60</v>
      </c>
      <c r="J1408" s="751">
        <v>22</v>
      </c>
      <c r="K1408" s="751">
        <v>2</v>
      </c>
      <c r="L1408" s="752" t="s">
        <v>54</v>
      </c>
      <c r="M1408" s="752" t="s">
        <v>468</v>
      </c>
      <c r="N1408" s="752" t="s">
        <v>469</v>
      </c>
      <c r="O1408" s="752" t="s">
        <v>469</v>
      </c>
      <c r="P1408" s="752" t="s">
        <v>1238</v>
      </c>
      <c r="Q1408" s="753">
        <v>0</v>
      </c>
      <c r="R1408" s="753">
        <v>0</v>
      </c>
      <c r="S1408" s="753">
        <v>20819</v>
      </c>
      <c r="T1408" s="753">
        <v>20819</v>
      </c>
      <c r="U1408" s="753">
        <v>2338</v>
      </c>
      <c r="V1408" s="751">
        <v>2019</v>
      </c>
      <c r="W1408" s="222"/>
      <c r="X1408" s="186"/>
      <c r="Y1408" s="178" t="str">
        <f t="shared" si="72"/>
        <v/>
      </c>
      <c r="Z1408" s="178" t="str">
        <f t="shared" si="73"/>
        <v/>
      </c>
      <c r="AA1408" s="44"/>
      <c r="AB1408" s="65"/>
      <c r="AC1408" s="40"/>
    </row>
    <row r="1409" spans="1:29" hidden="1">
      <c r="A1409" s="751">
        <v>59135</v>
      </c>
      <c r="B1409" s="752" t="s">
        <v>35</v>
      </c>
      <c r="C1409" s="751" t="s">
        <v>2960</v>
      </c>
      <c r="D1409" s="752" t="s">
        <v>1750</v>
      </c>
      <c r="E1409" s="752" t="s">
        <v>2038</v>
      </c>
      <c r="F1409" s="751">
        <v>59622</v>
      </c>
      <c r="G1409" s="752" t="s">
        <v>83</v>
      </c>
      <c r="H1409" s="752" t="s">
        <v>1245</v>
      </c>
      <c r="I1409" s="752" t="s">
        <v>60</v>
      </c>
      <c r="J1409" s="751">
        <v>22</v>
      </c>
      <c r="K1409" s="751">
        <v>2</v>
      </c>
      <c r="L1409" s="752" t="s">
        <v>54</v>
      </c>
      <c r="M1409" s="752" t="s">
        <v>468</v>
      </c>
      <c r="N1409" s="752" t="s">
        <v>469</v>
      </c>
      <c r="O1409" s="752" t="s">
        <v>469</v>
      </c>
      <c r="P1409" s="752" t="s">
        <v>1238</v>
      </c>
      <c r="Q1409" s="753">
        <v>0</v>
      </c>
      <c r="R1409" s="753">
        <v>0</v>
      </c>
      <c r="S1409" s="753">
        <v>27058</v>
      </c>
      <c r="T1409" s="753">
        <v>27058</v>
      </c>
      <c r="U1409" s="753">
        <v>3039</v>
      </c>
      <c r="V1409" s="751">
        <v>2019</v>
      </c>
      <c r="W1409" s="222"/>
      <c r="X1409" s="186"/>
      <c r="Y1409" s="178" t="str">
        <f t="shared" si="72"/>
        <v/>
      </c>
      <c r="Z1409" s="178" t="str">
        <f t="shared" si="73"/>
        <v/>
      </c>
      <c r="AA1409" s="44"/>
      <c r="AB1409" s="65"/>
      <c r="AC1409" s="40"/>
    </row>
    <row r="1410" spans="1:29" hidden="1">
      <c r="A1410" s="751">
        <v>59136</v>
      </c>
      <c r="B1410" s="752" t="s">
        <v>35</v>
      </c>
      <c r="C1410" s="751" t="s">
        <v>2960</v>
      </c>
      <c r="D1410" s="752" t="s">
        <v>1751</v>
      </c>
      <c r="E1410" s="752" t="s">
        <v>2038</v>
      </c>
      <c r="F1410" s="751">
        <v>59622</v>
      </c>
      <c r="G1410" s="752" t="s">
        <v>83</v>
      </c>
      <c r="H1410" s="752" t="s">
        <v>1245</v>
      </c>
      <c r="I1410" s="752" t="s">
        <v>60</v>
      </c>
      <c r="J1410" s="751">
        <v>22</v>
      </c>
      <c r="K1410" s="751">
        <v>2</v>
      </c>
      <c r="L1410" s="752" t="s">
        <v>54</v>
      </c>
      <c r="M1410" s="752" t="s">
        <v>468</v>
      </c>
      <c r="N1410" s="752" t="s">
        <v>469</v>
      </c>
      <c r="O1410" s="752" t="s">
        <v>469</v>
      </c>
      <c r="P1410" s="752" t="s">
        <v>1238</v>
      </c>
      <c r="Q1410" s="753">
        <v>0</v>
      </c>
      <c r="R1410" s="753">
        <v>0</v>
      </c>
      <c r="S1410" s="753">
        <v>13053</v>
      </c>
      <c r="T1410" s="753">
        <v>13053</v>
      </c>
      <c r="U1410" s="753">
        <v>1466</v>
      </c>
      <c r="V1410" s="751">
        <v>2019</v>
      </c>
      <c r="W1410" s="222"/>
      <c r="X1410" s="186"/>
      <c r="Y1410" s="178" t="str">
        <f t="shared" si="72"/>
        <v/>
      </c>
      <c r="Z1410" s="178" t="str">
        <f t="shared" si="73"/>
        <v/>
      </c>
      <c r="AA1410" s="44"/>
      <c r="AB1410" s="65"/>
      <c r="AC1410" s="40"/>
    </row>
    <row r="1411" spans="1:29" hidden="1">
      <c r="A1411" s="751">
        <v>59137</v>
      </c>
      <c r="B1411" s="752" t="s">
        <v>35</v>
      </c>
      <c r="C1411" s="751" t="s">
        <v>2960</v>
      </c>
      <c r="D1411" s="752" t="s">
        <v>1752</v>
      </c>
      <c r="E1411" s="752" t="s">
        <v>2038</v>
      </c>
      <c r="F1411" s="751">
        <v>59622</v>
      </c>
      <c r="G1411" s="752" t="s">
        <v>83</v>
      </c>
      <c r="H1411" s="752" t="s">
        <v>1245</v>
      </c>
      <c r="I1411" s="752" t="s">
        <v>60</v>
      </c>
      <c r="J1411" s="751">
        <v>22</v>
      </c>
      <c r="K1411" s="751">
        <v>2</v>
      </c>
      <c r="L1411" s="752" t="s">
        <v>54</v>
      </c>
      <c r="M1411" s="752" t="s">
        <v>468</v>
      </c>
      <c r="N1411" s="752" t="s">
        <v>469</v>
      </c>
      <c r="O1411" s="752" t="s">
        <v>469</v>
      </c>
      <c r="P1411" s="752" t="s">
        <v>1238</v>
      </c>
      <c r="Q1411" s="753">
        <v>0</v>
      </c>
      <c r="R1411" s="753">
        <v>0</v>
      </c>
      <c r="S1411" s="753">
        <v>61430</v>
      </c>
      <c r="T1411" s="753">
        <v>61430</v>
      </c>
      <c r="U1411" s="753">
        <v>6899</v>
      </c>
      <c r="V1411" s="751">
        <v>2019</v>
      </c>
      <c r="W1411" s="222"/>
      <c r="X1411" s="186"/>
      <c r="Y1411" s="178" t="str">
        <f t="shared" si="72"/>
        <v/>
      </c>
      <c r="Z1411" s="178" t="str">
        <f t="shared" si="73"/>
        <v/>
      </c>
      <c r="AA1411" s="44"/>
      <c r="AB1411" s="65"/>
      <c r="AC1411" s="40"/>
    </row>
    <row r="1412" spans="1:29" ht="25" hidden="1">
      <c r="A1412" s="751">
        <v>59140</v>
      </c>
      <c r="B1412" s="752" t="s">
        <v>35</v>
      </c>
      <c r="C1412" s="751" t="s">
        <v>2960</v>
      </c>
      <c r="D1412" s="752" t="s">
        <v>1820</v>
      </c>
      <c r="E1412" s="752" t="s">
        <v>1819</v>
      </c>
      <c r="F1412" s="751">
        <v>57170</v>
      </c>
      <c r="G1412" s="752" t="s">
        <v>83</v>
      </c>
      <c r="H1412" s="752" t="s">
        <v>1245</v>
      </c>
      <c r="I1412" s="752" t="s">
        <v>60</v>
      </c>
      <c r="J1412" s="751">
        <v>22</v>
      </c>
      <c r="K1412" s="751">
        <v>2</v>
      </c>
      <c r="L1412" s="752" t="s">
        <v>54</v>
      </c>
      <c r="M1412" s="752" t="s">
        <v>468</v>
      </c>
      <c r="N1412" s="752" t="s">
        <v>469</v>
      </c>
      <c r="O1412" s="752" t="s">
        <v>469</v>
      </c>
      <c r="P1412" s="752" t="s">
        <v>1238</v>
      </c>
      <c r="Q1412" s="753">
        <v>0</v>
      </c>
      <c r="R1412" s="753">
        <v>0</v>
      </c>
      <c r="S1412" s="753">
        <v>56229</v>
      </c>
      <c r="T1412" s="753">
        <v>56229</v>
      </c>
      <c r="U1412" s="753">
        <v>6315</v>
      </c>
      <c r="V1412" s="751">
        <v>2019</v>
      </c>
      <c r="W1412" s="222"/>
      <c r="X1412" s="186"/>
      <c r="Y1412" s="178" t="str">
        <f t="shared" si="72"/>
        <v/>
      </c>
      <c r="Z1412" s="178" t="str">
        <f t="shared" si="73"/>
        <v/>
      </c>
      <c r="AA1412" s="44"/>
      <c r="AB1412" s="65"/>
      <c r="AC1412" s="40"/>
    </row>
    <row r="1413" spans="1:29" hidden="1">
      <c r="A1413" s="751">
        <v>59178</v>
      </c>
      <c r="B1413" s="752" t="s">
        <v>35</v>
      </c>
      <c r="C1413" s="751" t="s">
        <v>2960</v>
      </c>
      <c r="D1413" s="752" t="s">
        <v>1753</v>
      </c>
      <c r="E1413" s="752" t="s">
        <v>1754</v>
      </c>
      <c r="F1413" s="751">
        <v>58440</v>
      </c>
      <c r="G1413" s="752" t="s">
        <v>83</v>
      </c>
      <c r="H1413" s="752" t="s">
        <v>1245</v>
      </c>
      <c r="I1413" s="752" t="s">
        <v>60</v>
      </c>
      <c r="J1413" s="751">
        <v>22</v>
      </c>
      <c r="K1413" s="751">
        <v>2</v>
      </c>
      <c r="L1413" s="752" t="s">
        <v>54</v>
      </c>
      <c r="M1413" s="752" t="s">
        <v>468</v>
      </c>
      <c r="N1413" s="752" t="s">
        <v>469</v>
      </c>
      <c r="O1413" s="752" t="s">
        <v>469</v>
      </c>
      <c r="P1413" s="752" t="s">
        <v>1238</v>
      </c>
      <c r="Q1413" s="753">
        <v>0</v>
      </c>
      <c r="R1413" s="753">
        <v>0</v>
      </c>
      <c r="S1413" s="753">
        <v>32402</v>
      </c>
      <c r="T1413" s="753">
        <v>32402</v>
      </c>
      <c r="U1413" s="753">
        <v>3639</v>
      </c>
      <c r="V1413" s="751">
        <v>2019</v>
      </c>
      <c r="W1413" s="222"/>
      <c r="X1413" s="186"/>
      <c r="Y1413" s="178" t="str">
        <f t="shared" si="72"/>
        <v/>
      </c>
      <c r="Z1413" s="178" t="str">
        <f t="shared" si="73"/>
        <v/>
      </c>
      <c r="AA1413" s="44"/>
      <c r="AB1413" s="65"/>
      <c r="AC1413" s="40"/>
    </row>
    <row r="1414" spans="1:29" hidden="1">
      <c r="A1414" s="751">
        <v>59179</v>
      </c>
      <c r="B1414" s="752" t="s">
        <v>35</v>
      </c>
      <c r="C1414" s="751" t="s">
        <v>2960</v>
      </c>
      <c r="D1414" s="752" t="s">
        <v>1755</v>
      </c>
      <c r="E1414" s="752" t="s">
        <v>1754</v>
      </c>
      <c r="F1414" s="751">
        <v>58440</v>
      </c>
      <c r="G1414" s="752" t="s">
        <v>83</v>
      </c>
      <c r="H1414" s="752" t="s">
        <v>1245</v>
      </c>
      <c r="I1414" s="752" t="s">
        <v>60</v>
      </c>
      <c r="J1414" s="751">
        <v>22</v>
      </c>
      <c r="K1414" s="751">
        <v>2</v>
      </c>
      <c r="L1414" s="752" t="s">
        <v>54</v>
      </c>
      <c r="M1414" s="752" t="s">
        <v>468</v>
      </c>
      <c r="N1414" s="752" t="s">
        <v>469</v>
      </c>
      <c r="O1414" s="752" t="s">
        <v>469</v>
      </c>
      <c r="P1414" s="752" t="s">
        <v>1238</v>
      </c>
      <c r="Q1414" s="753">
        <v>0</v>
      </c>
      <c r="R1414" s="753">
        <v>0</v>
      </c>
      <c r="S1414" s="753">
        <v>41536</v>
      </c>
      <c r="T1414" s="753">
        <v>41536</v>
      </c>
      <c r="U1414" s="753">
        <v>4665</v>
      </c>
      <c r="V1414" s="751">
        <v>2019</v>
      </c>
      <c r="W1414" s="222"/>
      <c r="X1414" s="186"/>
      <c r="Y1414" s="178" t="str">
        <f t="shared" si="72"/>
        <v/>
      </c>
      <c r="Z1414" s="178" t="str">
        <f t="shared" si="73"/>
        <v/>
      </c>
      <c r="AA1414" s="44"/>
      <c r="AB1414" s="65"/>
      <c r="AC1414" s="40"/>
    </row>
    <row r="1415" spans="1:29" hidden="1">
      <c r="A1415" s="751">
        <v>59222</v>
      </c>
      <c r="B1415" s="752" t="s">
        <v>35</v>
      </c>
      <c r="C1415" s="751" t="s">
        <v>2960</v>
      </c>
      <c r="D1415" s="752" t="s">
        <v>2048</v>
      </c>
      <c r="E1415" s="752" t="s">
        <v>2049</v>
      </c>
      <c r="F1415" s="751">
        <v>17650</v>
      </c>
      <c r="G1415" s="752" t="s">
        <v>92</v>
      </c>
      <c r="H1415" s="752" t="s">
        <v>1245</v>
      </c>
      <c r="I1415" s="752" t="s">
        <v>60</v>
      </c>
      <c r="J1415" s="751">
        <v>22</v>
      </c>
      <c r="K1415" s="751">
        <v>2</v>
      </c>
      <c r="L1415" s="752" t="s">
        <v>54</v>
      </c>
      <c r="M1415" s="752" t="s">
        <v>73</v>
      </c>
      <c r="N1415" s="752" t="s">
        <v>74</v>
      </c>
      <c r="O1415" s="752" t="s">
        <v>74</v>
      </c>
      <c r="P1415" s="752" t="s">
        <v>1238</v>
      </c>
      <c r="Q1415" s="753">
        <v>0</v>
      </c>
      <c r="R1415" s="753">
        <v>0</v>
      </c>
      <c r="S1415" s="753">
        <v>1282798</v>
      </c>
      <c r="T1415" s="753">
        <v>1282798</v>
      </c>
      <c r="U1415" s="753">
        <v>144070</v>
      </c>
      <c r="V1415" s="751">
        <v>2019</v>
      </c>
      <c r="W1415" s="222"/>
      <c r="X1415" s="186"/>
      <c r="Y1415" s="178" t="str">
        <f t="shared" ref="Y1415:Y1478" si="74">IF(AND($M1415=$Y$2,$N1415=$Y$3,NOT($Q1415=$R1415),NOT($U1415=0)),IF($K1415=5,$S1415/($U1415+(8/5)*$U1415),IF($K1415=7,$S1415/($U1415+(29/25)*$U1415),"")),"")</f>
        <v/>
      </c>
      <c r="Z1415" s="178" t="str">
        <f t="shared" ref="Z1415:Z1478" si="75">IF(AND($M1415=$Y$2,$N1415=$Y$4,NOT($Q1415=$R1415),NOT($U1415=0)),IF($K1415=5,$S1415/($U1415+(8/5)*$U1415),IF($K1415=7,$S1415/($U1415+(29/25)*$U1415),"")),"")</f>
        <v/>
      </c>
      <c r="AA1415" s="44"/>
      <c r="AB1415" s="65"/>
      <c r="AC1415" s="40"/>
    </row>
    <row r="1416" spans="1:29" hidden="1">
      <c r="A1416" s="751">
        <v>59241</v>
      </c>
      <c r="B1416" s="752" t="s">
        <v>35</v>
      </c>
      <c r="C1416" s="751" t="s">
        <v>2960</v>
      </c>
      <c r="D1416" s="752" t="s">
        <v>1756</v>
      </c>
      <c r="E1416" s="752" t="s">
        <v>1719</v>
      </c>
      <c r="F1416" s="751">
        <v>58801</v>
      </c>
      <c r="G1416" s="752" t="s">
        <v>83</v>
      </c>
      <c r="H1416" s="752" t="s">
        <v>1245</v>
      </c>
      <c r="I1416" s="752" t="s">
        <v>60</v>
      </c>
      <c r="J1416" s="751">
        <v>22</v>
      </c>
      <c r="K1416" s="751">
        <v>2</v>
      </c>
      <c r="L1416" s="752" t="s">
        <v>54</v>
      </c>
      <c r="M1416" s="752" t="s">
        <v>468</v>
      </c>
      <c r="N1416" s="752" t="s">
        <v>469</v>
      </c>
      <c r="O1416" s="752" t="s">
        <v>469</v>
      </c>
      <c r="P1416" s="752" t="s">
        <v>1238</v>
      </c>
      <c r="Q1416" s="753">
        <v>0</v>
      </c>
      <c r="R1416" s="753">
        <v>0</v>
      </c>
      <c r="S1416" s="753">
        <v>16526</v>
      </c>
      <c r="T1416" s="753">
        <v>16526</v>
      </c>
      <c r="U1416" s="753">
        <v>1856</v>
      </c>
      <c r="V1416" s="751">
        <v>2019</v>
      </c>
      <c r="W1416" s="222"/>
      <c r="X1416" s="186"/>
      <c r="Y1416" s="178" t="str">
        <f t="shared" si="74"/>
        <v/>
      </c>
      <c r="Z1416" s="178" t="str">
        <f t="shared" si="75"/>
        <v/>
      </c>
      <c r="AA1416" s="44"/>
      <c r="AB1416" s="65"/>
      <c r="AC1416" s="40"/>
    </row>
    <row r="1417" spans="1:29" hidden="1">
      <c r="A1417" s="751">
        <v>59242</v>
      </c>
      <c r="B1417" s="752" t="s">
        <v>35</v>
      </c>
      <c r="C1417" s="751" t="s">
        <v>2960</v>
      </c>
      <c r="D1417" s="752" t="s">
        <v>1821</v>
      </c>
      <c r="E1417" s="752" t="s">
        <v>1719</v>
      </c>
      <c r="F1417" s="751">
        <v>58801</v>
      </c>
      <c r="G1417" s="752" t="s">
        <v>83</v>
      </c>
      <c r="H1417" s="752" t="s">
        <v>1245</v>
      </c>
      <c r="I1417" s="752" t="s">
        <v>60</v>
      </c>
      <c r="J1417" s="751">
        <v>22</v>
      </c>
      <c r="K1417" s="751">
        <v>2</v>
      </c>
      <c r="L1417" s="752" t="s">
        <v>54</v>
      </c>
      <c r="M1417" s="752" t="s">
        <v>468</v>
      </c>
      <c r="N1417" s="752" t="s">
        <v>469</v>
      </c>
      <c r="O1417" s="752" t="s">
        <v>469</v>
      </c>
      <c r="P1417" s="752" t="s">
        <v>1238</v>
      </c>
      <c r="Q1417" s="753">
        <v>0</v>
      </c>
      <c r="R1417" s="753">
        <v>0</v>
      </c>
      <c r="S1417" s="753">
        <v>18735</v>
      </c>
      <c r="T1417" s="753">
        <v>18735</v>
      </c>
      <c r="U1417" s="753">
        <v>2104</v>
      </c>
      <c r="V1417" s="751">
        <v>2019</v>
      </c>
      <c r="W1417" s="222"/>
      <c r="X1417" s="186"/>
      <c r="Y1417" s="178" t="str">
        <f t="shared" si="74"/>
        <v/>
      </c>
      <c r="Z1417" s="178" t="str">
        <f t="shared" si="75"/>
        <v/>
      </c>
      <c r="AA1417" s="44"/>
      <c r="AB1417" s="65"/>
      <c r="AC1417" s="40"/>
    </row>
    <row r="1418" spans="1:29" hidden="1">
      <c r="A1418" s="751">
        <v>59254</v>
      </c>
      <c r="B1418" s="752" t="s">
        <v>35</v>
      </c>
      <c r="C1418" s="751" t="s">
        <v>2960</v>
      </c>
      <c r="D1418" s="752" t="s">
        <v>1757</v>
      </c>
      <c r="E1418" s="752" t="s">
        <v>1113</v>
      </c>
      <c r="F1418" s="751">
        <v>56889</v>
      </c>
      <c r="G1418" s="752" t="s">
        <v>136</v>
      </c>
      <c r="H1418" s="752" t="s">
        <v>1245</v>
      </c>
      <c r="I1418" s="752" t="s">
        <v>60</v>
      </c>
      <c r="J1418" s="751">
        <v>22</v>
      </c>
      <c r="K1418" s="751">
        <v>2</v>
      </c>
      <c r="L1418" s="752" t="s">
        <v>54</v>
      </c>
      <c r="M1418" s="752" t="s">
        <v>40</v>
      </c>
      <c r="N1418" s="752" t="s">
        <v>65</v>
      </c>
      <c r="O1418" s="752" t="s">
        <v>66</v>
      </c>
      <c r="P1418" s="752" t="s">
        <v>1091</v>
      </c>
      <c r="Q1418" s="753">
        <v>0</v>
      </c>
      <c r="R1418" s="753">
        <v>0</v>
      </c>
      <c r="S1418" s="753">
        <v>0</v>
      </c>
      <c r="T1418" s="753">
        <v>0</v>
      </c>
      <c r="U1418" s="753">
        <v>59863.55</v>
      </c>
      <c r="V1418" s="751">
        <v>2019</v>
      </c>
      <c r="W1418" s="222"/>
      <c r="X1418" s="186"/>
      <c r="Y1418" s="178" t="str">
        <f t="shared" si="74"/>
        <v/>
      </c>
      <c r="Z1418" s="178" t="str">
        <f t="shared" si="75"/>
        <v/>
      </c>
      <c r="AA1418" s="44"/>
      <c r="AB1418" s="65"/>
      <c r="AC1418" s="40"/>
    </row>
    <row r="1419" spans="1:29" hidden="1">
      <c r="A1419" s="751">
        <v>59254</v>
      </c>
      <c r="B1419" s="752" t="s">
        <v>35</v>
      </c>
      <c r="C1419" s="751" t="s">
        <v>2960</v>
      </c>
      <c r="D1419" s="752" t="s">
        <v>1757</v>
      </c>
      <c r="E1419" s="752" t="s">
        <v>1113</v>
      </c>
      <c r="F1419" s="751">
        <v>56889</v>
      </c>
      <c r="G1419" s="752" t="s">
        <v>136</v>
      </c>
      <c r="H1419" s="752" t="s">
        <v>1245</v>
      </c>
      <c r="I1419" s="752" t="s">
        <v>60</v>
      </c>
      <c r="J1419" s="751">
        <v>22</v>
      </c>
      <c r="K1419" s="751">
        <v>2</v>
      </c>
      <c r="L1419" s="752" t="s">
        <v>54</v>
      </c>
      <c r="M1419" s="752" t="s">
        <v>43</v>
      </c>
      <c r="N1419" s="752" t="s">
        <v>65</v>
      </c>
      <c r="O1419" s="752" t="s">
        <v>66</v>
      </c>
      <c r="P1419" s="752" t="s">
        <v>1091</v>
      </c>
      <c r="Q1419" s="753">
        <v>4220018</v>
      </c>
      <c r="R1419" s="753">
        <v>4220018</v>
      </c>
      <c r="S1419" s="753">
        <v>2031696</v>
      </c>
      <c r="T1419" s="753">
        <v>2031696</v>
      </c>
      <c r="U1419" s="753">
        <v>147926.94</v>
      </c>
      <c r="V1419" s="751">
        <v>2019</v>
      </c>
      <c r="W1419" s="222"/>
      <c r="X1419" s="186"/>
      <c r="Y1419" s="178" t="str">
        <f t="shared" si="74"/>
        <v/>
      </c>
      <c r="Z1419" s="178" t="str">
        <f t="shared" si="75"/>
        <v/>
      </c>
      <c r="AA1419" s="44"/>
      <c r="AB1419" s="65"/>
      <c r="AC1419" s="40"/>
    </row>
    <row r="1420" spans="1:29" hidden="1">
      <c r="A1420" s="751">
        <v>59274</v>
      </c>
      <c r="B1420" s="752" t="s">
        <v>35</v>
      </c>
      <c r="C1420" s="751" t="s">
        <v>2960</v>
      </c>
      <c r="D1420" s="752" t="s">
        <v>2476</v>
      </c>
      <c r="E1420" s="752" t="s">
        <v>1957</v>
      </c>
      <c r="F1420" s="751">
        <v>58661</v>
      </c>
      <c r="G1420" s="752" t="s">
        <v>59</v>
      </c>
      <c r="H1420" s="752" t="s">
        <v>1244</v>
      </c>
      <c r="I1420" s="752" t="s">
        <v>60</v>
      </c>
      <c r="J1420" s="751">
        <v>22</v>
      </c>
      <c r="K1420" s="751">
        <v>2</v>
      </c>
      <c r="L1420" s="752" t="s">
        <v>54</v>
      </c>
      <c r="M1420" s="752" t="s">
        <v>468</v>
      </c>
      <c r="N1420" s="752" t="s">
        <v>469</v>
      </c>
      <c r="O1420" s="752" t="s">
        <v>469</v>
      </c>
      <c r="P1420" s="752" t="s">
        <v>1238</v>
      </c>
      <c r="Q1420" s="753">
        <v>0</v>
      </c>
      <c r="R1420" s="753">
        <v>0</v>
      </c>
      <c r="S1420" s="753">
        <v>80910</v>
      </c>
      <c r="T1420" s="753">
        <v>80910</v>
      </c>
      <c r="U1420" s="753">
        <v>9087</v>
      </c>
      <c r="V1420" s="751">
        <v>2019</v>
      </c>
      <c r="W1420" s="222"/>
      <c r="X1420" s="186"/>
      <c r="Y1420" s="178" t="str">
        <f t="shared" si="74"/>
        <v/>
      </c>
      <c r="Z1420" s="178" t="str">
        <f t="shared" si="75"/>
        <v/>
      </c>
      <c r="AA1420" s="44"/>
      <c r="AB1420" s="65"/>
      <c r="AC1420" s="40"/>
    </row>
    <row r="1421" spans="1:29" hidden="1">
      <c r="A1421" s="751">
        <v>59275</v>
      </c>
      <c r="B1421" s="752" t="s">
        <v>35</v>
      </c>
      <c r="C1421" s="751" t="s">
        <v>2960</v>
      </c>
      <c r="D1421" s="752" t="s">
        <v>1958</v>
      </c>
      <c r="E1421" s="752" t="s">
        <v>1957</v>
      </c>
      <c r="F1421" s="751">
        <v>58661</v>
      </c>
      <c r="G1421" s="752" t="s">
        <v>59</v>
      </c>
      <c r="H1421" s="752" t="s">
        <v>1244</v>
      </c>
      <c r="I1421" s="752" t="s">
        <v>60</v>
      </c>
      <c r="J1421" s="751">
        <v>22</v>
      </c>
      <c r="K1421" s="751">
        <v>2</v>
      </c>
      <c r="L1421" s="752" t="s">
        <v>54</v>
      </c>
      <c r="M1421" s="752" t="s">
        <v>468</v>
      </c>
      <c r="N1421" s="752" t="s">
        <v>469</v>
      </c>
      <c r="O1421" s="752" t="s">
        <v>469</v>
      </c>
      <c r="P1421" s="752" t="s">
        <v>1238</v>
      </c>
      <c r="Q1421" s="753">
        <v>0</v>
      </c>
      <c r="R1421" s="753">
        <v>0</v>
      </c>
      <c r="S1421" s="753">
        <v>19883</v>
      </c>
      <c r="T1421" s="753">
        <v>19883</v>
      </c>
      <c r="U1421" s="753">
        <v>2233</v>
      </c>
      <c r="V1421" s="751">
        <v>2019</v>
      </c>
      <c r="W1421" s="222"/>
      <c r="X1421" s="186"/>
      <c r="Y1421" s="178" t="str">
        <f t="shared" si="74"/>
        <v/>
      </c>
      <c r="Z1421" s="178" t="str">
        <f t="shared" si="75"/>
        <v/>
      </c>
      <c r="AA1421" s="44"/>
      <c r="AB1421" s="65"/>
      <c r="AC1421" s="40"/>
    </row>
    <row r="1422" spans="1:29" hidden="1">
      <c r="A1422" s="751">
        <v>59276</v>
      </c>
      <c r="B1422" s="752" t="s">
        <v>35</v>
      </c>
      <c r="C1422" s="751" t="s">
        <v>2960</v>
      </c>
      <c r="D1422" s="752" t="s">
        <v>2050</v>
      </c>
      <c r="E1422" s="752" t="s">
        <v>1957</v>
      </c>
      <c r="F1422" s="751">
        <v>58661</v>
      </c>
      <c r="G1422" s="752" t="s">
        <v>59</v>
      </c>
      <c r="H1422" s="752" t="s">
        <v>1244</v>
      </c>
      <c r="I1422" s="752" t="s">
        <v>60</v>
      </c>
      <c r="J1422" s="751">
        <v>22</v>
      </c>
      <c r="K1422" s="751">
        <v>2</v>
      </c>
      <c r="L1422" s="752" t="s">
        <v>54</v>
      </c>
      <c r="M1422" s="752" t="s">
        <v>468</v>
      </c>
      <c r="N1422" s="752" t="s">
        <v>469</v>
      </c>
      <c r="O1422" s="752" t="s">
        <v>469</v>
      </c>
      <c r="P1422" s="752" t="s">
        <v>1238</v>
      </c>
      <c r="Q1422" s="753">
        <v>0</v>
      </c>
      <c r="R1422" s="753">
        <v>0</v>
      </c>
      <c r="S1422" s="753">
        <v>155233</v>
      </c>
      <c r="T1422" s="753">
        <v>155233</v>
      </c>
      <c r="U1422" s="753">
        <v>17434</v>
      </c>
      <c r="V1422" s="751">
        <v>2019</v>
      </c>
      <c r="W1422" s="222"/>
      <c r="X1422" s="186"/>
      <c r="Y1422" s="178" t="str">
        <f t="shared" si="74"/>
        <v/>
      </c>
      <c r="Z1422" s="178" t="str">
        <f t="shared" si="75"/>
        <v/>
      </c>
      <c r="AA1422" s="44"/>
      <c r="AB1422" s="65"/>
      <c r="AC1422" s="40"/>
    </row>
    <row r="1423" spans="1:29" hidden="1">
      <c r="A1423" s="751">
        <v>59295</v>
      </c>
      <c r="B1423" s="752" t="s">
        <v>35</v>
      </c>
      <c r="C1423" s="751" t="s">
        <v>2960</v>
      </c>
      <c r="D1423" s="752" t="s">
        <v>1758</v>
      </c>
      <c r="E1423" s="752" t="s">
        <v>1759</v>
      </c>
      <c r="F1423" s="751">
        <v>59097</v>
      </c>
      <c r="G1423" s="752" t="s">
        <v>136</v>
      </c>
      <c r="H1423" s="752" t="s">
        <v>1245</v>
      </c>
      <c r="I1423" s="752" t="s">
        <v>60</v>
      </c>
      <c r="J1423" s="751">
        <v>22</v>
      </c>
      <c r="K1423" s="751">
        <v>2</v>
      </c>
      <c r="L1423" s="752" t="s">
        <v>54</v>
      </c>
      <c r="M1423" s="752" t="s">
        <v>73</v>
      </c>
      <c r="N1423" s="752" t="s">
        <v>74</v>
      </c>
      <c r="O1423" s="752" t="s">
        <v>74</v>
      </c>
      <c r="P1423" s="752" t="s">
        <v>1238</v>
      </c>
      <c r="Q1423" s="753">
        <v>0</v>
      </c>
      <c r="R1423" s="753">
        <v>0</v>
      </c>
      <c r="S1423" s="753">
        <v>24325</v>
      </c>
      <c r="T1423" s="753">
        <v>24325</v>
      </c>
      <c r="U1423" s="753">
        <v>2732</v>
      </c>
      <c r="V1423" s="751">
        <v>2019</v>
      </c>
      <c r="W1423" s="222"/>
      <c r="X1423" s="186"/>
      <c r="Y1423" s="178" t="str">
        <f t="shared" si="74"/>
        <v/>
      </c>
      <c r="Z1423" s="178" t="str">
        <f t="shared" si="75"/>
        <v/>
      </c>
      <c r="AA1423" s="44"/>
      <c r="AB1423" s="65"/>
      <c r="AC1423" s="40"/>
    </row>
    <row r="1424" spans="1:29" hidden="1">
      <c r="A1424" s="751">
        <v>59301</v>
      </c>
      <c r="B1424" s="752" t="s">
        <v>35</v>
      </c>
      <c r="C1424" s="751" t="s">
        <v>2960</v>
      </c>
      <c r="D1424" s="752" t="s">
        <v>2051</v>
      </c>
      <c r="E1424" s="752" t="s">
        <v>2052</v>
      </c>
      <c r="F1424" s="751">
        <v>59105</v>
      </c>
      <c r="G1424" s="752" t="s">
        <v>136</v>
      </c>
      <c r="H1424" s="752" t="s">
        <v>1245</v>
      </c>
      <c r="I1424" s="752" t="s">
        <v>60</v>
      </c>
      <c r="J1424" s="751">
        <v>22</v>
      </c>
      <c r="K1424" s="751">
        <v>2</v>
      </c>
      <c r="L1424" s="752" t="s">
        <v>54</v>
      </c>
      <c r="M1424" s="752" t="s">
        <v>73</v>
      </c>
      <c r="N1424" s="752" t="s">
        <v>74</v>
      </c>
      <c r="O1424" s="752" t="s">
        <v>74</v>
      </c>
      <c r="P1424" s="752" t="s">
        <v>1238</v>
      </c>
      <c r="Q1424" s="753">
        <v>0</v>
      </c>
      <c r="R1424" s="753">
        <v>0</v>
      </c>
      <c r="S1424" s="753">
        <v>25020</v>
      </c>
      <c r="T1424" s="753">
        <v>25020</v>
      </c>
      <c r="U1424" s="753">
        <v>2810</v>
      </c>
      <c r="V1424" s="751">
        <v>2019</v>
      </c>
      <c r="W1424" s="222"/>
      <c r="X1424" s="186"/>
      <c r="Y1424" s="178" t="str">
        <f t="shared" si="74"/>
        <v/>
      </c>
      <c r="Z1424" s="178" t="str">
        <f t="shared" si="75"/>
        <v/>
      </c>
      <c r="AA1424" s="44"/>
      <c r="AB1424" s="65"/>
      <c r="AC1424" s="40"/>
    </row>
    <row r="1425" spans="1:29" hidden="1">
      <c r="A1425" s="751">
        <v>59302</v>
      </c>
      <c r="B1425" s="752" t="s">
        <v>35</v>
      </c>
      <c r="C1425" s="751" t="s">
        <v>2960</v>
      </c>
      <c r="D1425" s="752" t="s">
        <v>2053</v>
      </c>
      <c r="E1425" s="752" t="s">
        <v>2054</v>
      </c>
      <c r="F1425" s="751">
        <v>59106</v>
      </c>
      <c r="G1425" s="752" t="s">
        <v>136</v>
      </c>
      <c r="H1425" s="752" t="s">
        <v>1245</v>
      </c>
      <c r="I1425" s="752" t="s">
        <v>60</v>
      </c>
      <c r="J1425" s="751">
        <v>22</v>
      </c>
      <c r="K1425" s="751">
        <v>2</v>
      </c>
      <c r="L1425" s="752" t="s">
        <v>54</v>
      </c>
      <c r="M1425" s="752" t="s">
        <v>73</v>
      </c>
      <c r="N1425" s="752" t="s">
        <v>74</v>
      </c>
      <c r="O1425" s="752" t="s">
        <v>74</v>
      </c>
      <c r="P1425" s="752" t="s">
        <v>1238</v>
      </c>
      <c r="Q1425" s="753">
        <v>0</v>
      </c>
      <c r="R1425" s="753">
        <v>0</v>
      </c>
      <c r="S1425" s="753">
        <v>92247</v>
      </c>
      <c r="T1425" s="753">
        <v>92247</v>
      </c>
      <c r="U1425" s="753">
        <v>10360</v>
      </c>
      <c r="V1425" s="751">
        <v>2019</v>
      </c>
      <c r="W1425" s="222"/>
      <c r="X1425" s="186"/>
      <c r="Y1425" s="178" t="str">
        <f t="shared" si="74"/>
        <v/>
      </c>
      <c r="Z1425" s="178" t="str">
        <f t="shared" si="75"/>
        <v/>
      </c>
      <c r="AA1425" s="44"/>
      <c r="AB1425" s="65"/>
      <c r="AC1425" s="40"/>
    </row>
    <row r="1426" spans="1:29" hidden="1">
      <c r="A1426" s="751">
        <v>59305</v>
      </c>
      <c r="B1426" s="752" t="s">
        <v>35</v>
      </c>
      <c r="C1426" s="751" t="s">
        <v>2960</v>
      </c>
      <c r="D1426" s="752" t="s">
        <v>2055</v>
      </c>
      <c r="E1426" s="752" t="s">
        <v>2056</v>
      </c>
      <c r="F1426" s="751">
        <v>59107</v>
      </c>
      <c r="G1426" s="752" t="s">
        <v>136</v>
      </c>
      <c r="H1426" s="752" t="s">
        <v>1245</v>
      </c>
      <c r="I1426" s="752" t="s">
        <v>60</v>
      </c>
      <c r="J1426" s="751">
        <v>22</v>
      </c>
      <c r="K1426" s="751">
        <v>2</v>
      </c>
      <c r="L1426" s="752" t="s">
        <v>54</v>
      </c>
      <c r="M1426" s="752" t="s">
        <v>73</v>
      </c>
      <c r="N1426" s="752" t="s">
        <v>74</v>
      </c>
      <c r="O1426" s="752" t="s">
        <v>74</v>
      </c>
      <c r="P1426" s="752" t="s">
        <v>1238</v>
      </c>
      <c r="Q1426" s="753">
        <v>0</v>
      </c>
      <c r="R1426" s="753">
        <v>0</v>
      </c>
      <c r="S1426" s="753">
        <v>29223</v>
      </c>
      <c r="T1426" s="753">
        <v>29223</v>
      </c>
      <c r="U1426" s="753">
        <v>3282</v>
      </c>
      <c r="V1426" s="751">
        <v>2019</v>
      </c>
      <c r="W1426" s="222"/>
      <c r="X1426" s="186"/>
      <c r="Y1426" s="178" t="str">
        <f t="shared" si="74"/>
        <v/>
      </c>
      <c r="Z1426" s="178" t="str">
        <f t="shared" si="75"/>
        <v/>
      </c>
      <c r="AA1426" s="44"/>
      <c r="AB1426" s="65"/>
      <c r="AC1426" s="40"/>
    </row>
    <row r="1427" spans="1:29" hidden="1">
      <c r="A1427" s="751">
        <v>59306</v>
      </c>
      <c r="B1427" s="752" t="s">
        <v>35</v>
      </c>
      <c r="C1427" s="751" t="s">
        <v>2960</v>
      </c>
      <c r="D1427" s="752" t="s">
        <v>2057</v>
      </c>
      <c r="E1427" s="752" t="s">
        <v>2058</v>
      </c>
      <c r="F1427" s="751">
        <v>59108</v>
      </c>
      <c r="G1427" s="752" t="s">
        <v>136</v>
      </c>
      <c r="H1427" s="752" t="s">
        <v>1245</v>
      </c>
      <c r="I1427" s="752" t="s">
        <v>60</v>
      </c>
      <c r="J1427" s="751">
        <v>22</v>
      </c>
      <c r="K1427" s="751">
        <v>2</v>
      </c>
      <c r="L1427" s="752" t="s">
        <v>54</v>
      </c>
      <c r="M1427" s="752" t="s">
        <v>73</v>
      </c>
      <c r="N1427" s="752" t="s">
        <v>74</v>
      </c>
      <c r="O1427" s="752" t="s">
        <v>74</v>
      </c>
      <c r="P1427" s="752" t="s">
        <v>1238</v>
      </c>
      <c r="Q1427" s="753">
        <v>0</v>
      </c>
      <c r="R1427" s="753">
        <v>0</v>
      </c>
      <c r="S1427" s="753">
        <v>22883</v>
      </c>
      <c r="T1427" s="753">
        <v>22883</v>
      </c>
      <c r="U1427" s="753">
        <v>2570</v>
      </c>
      <c r="V1427" s="751">
        <v>2019</v>
      </c>
      <c r="W1427" s="222"/>
      <c r="X1427" s="186"/>
      <c r="Y1427" s="178" t="str">
        <f t="shared" si="74"/>
        <v/>
      </c>
      <c r="Z1427" s="178" t="str">
        <f t="shared" si="75"/>
        <v/>
      </c>
      <c r="AA1427" s="44"/>
      <c r="AB1427" s="65"/>
      <c r="AC1427" s="40"/>
    </row>
    <row r="1428" spans="1:29" hidden="1">
      <c r="A1428" s="751">
        <v>59313</v>
      </c>
      <c r="B1428" s="752" t="s">
        <v>35</v>
      </c>
      <c r="C1428" s="751" t="s">
        <v>2960</v>
      </c>
      <c r="D1428" s="752" t="s">
        <v>2264</v>
      </c>
      <c r="E1428" s="752" t="s">
        <v>2265</v>
      </c>
      <c r="F1428" s="751">
        <v>59116</v>
      </c>
      <c r="G1428" s="752" t="s">
        <v>136</v>
      </c>
      <c r="H1428" s="752" t="s">
        <v>1245</v>
      </c>
      <c r="I1428" s="752" t="s">
        <v>60</v>
      </c>
      <c r="J1428" s="751">
        <v>22</v>
      </c>
      <c r="K1428" s="751">
        <v>2</v>
      </c>
      <c r="L1428" s="752" t="s">
        <v>54</v>
      </c>
      <c r="M1428" s="752" t="s">
        <v>73</v>
      </c>
      <c r="N1428" s="752" t="s">
        <v>74</v>
      </c>
      <c r="O1428" s="752" t="s">
        <v>74</v>
      </c>
      <c r="P1428" s="752" t="s">
        <v>1238</v>
      </c>
      <c r="Q1428" s="753">
        <v>0</v>
      </c>
      <c r="R1428" s="753">
        <v>0</v>
      </c>
      <c r="S1428" s="753">
        <v>29516</v>
      </c>
      <c r="T1428" s="753">
        <v>29516</v>
      </c>
      <c r="U1428" s="753">
        <v>3315</v>
      </c>
      <c r="V1428" s="751">
        <v>2019</v>
      </c>
      <c r="W1428" s="222"/>
      <c r="X1428" s="186"/>
      <c r="Y1428" s="178" t="str">
        <f t="shared" si="74"/>
        <v/>
      </c>
      <c r="Z1428" s="178" t="str">
        <f t="shared" si="75"/>
        <v/>
      </c>
      <c r="AA1428" s="44"/>
      <c r="AB1428" s="65"/>
      <c r="AC1428" s="40"/>
    </row>
    <row r="1429" spans="1:29" hidden="1">
      <c r="A1429" s="751">
        <v>59314</v>
      </c>
      <c r="B1429" s="752" t="s">
        <v>35</v>
      </c>
      <c r="C1429" s="751" t="s">
        <v>2960</v>
      </c>
      <c r="D1429" s="752" t="s">
        <v>2059</v>
      </c>
      <c r="E1429" s="752" t="s">
        <v>2060</v>
      </c>
      <c r="F1429" s="751">
        <v>59117</v>
      </c>
      <c r="G1429" s="752" t="s">
        <v>136</v>
      </c>
      <c r="H1429" s="752" t="s">
        <v>1245</v>
      </c>
      <c r="I1429" s="752" t="s">
        <v>60</v>
      </c>
      <c r="J1429" s="751">
        <v>22</v>
      </c>
      <c r="K1429" s="751">
        <v>2</v>
      </c>
      <c r="L1429" s="752" t="s">
        <v>54</v>
      </c>
      <c r="M1429" s="752" t="s">
        <v>73</v>
      </c>
      <c r="N1429" s="752" t="s">
        <v>74</v>
      </c>
      <c r="O1429" s="752" t="s">
        <v>74</v>
      </c>
      <c r="P1429" s="752" t="s">
        <v>1238</v>
      </c>
      <c r="Q1429" s="753">
        <v>0</v>
      </c>
      <c r="R1429" s="753">
        <v>0</v>
      </c>
      <c r="S1429" s="753">
        <v>80197</v>
      </c>
      <c r="T1429" s="753">
        <v>80197</v>
      </c>
      <c r="U1429" s="753">
        <v>9007</v>
      </c>
      <c r="V1429" s="751">
        <v>2019</v>
      </c>
      <c r="W1429" s="222"/>
      <c r="X1429" s="186"/>
      <c r="Y1429" s="178" t="str">
        <f t="shared" si="74"/>
        <v/>
      </c>
      <c r="Z1429" s="178" t="str">
        <f t="shared" si="75"/>
        <v/>
      </c>
      <c r="AA1429" s="44"/>
      <c r="AB1429" s="65"/>
      <c r="AC1429" s="40"/>
    </row>
    <row r="1430" spans="1:29" ht="25" hidden="1">
      <c r="A1430" s="751">
        <v>59358</v>
      </c>
      <c r="B1430" s="752" t="s">
        <v>35</v>
      </c>
      <c r="C1430" s="751" t="s">
        <v>2960</v>
      </c>
      <c r="D1430" s="752" t="s">
        <v>1822</v>
      </c>
      <c r="E1430" s="752" t="s">
        <v>2109</v>
      </c>
      <c r="F1430" s="751">
        <v>60281</v>
      </c>
      <c r="G1430" s="752" t="s">
        <v>83</v>
      </c>
      <c r="H1430" s="752" t="s">
        <v>1245</v>
      </c>
      <c r="I1430" s="752" t="s">
        <v>60</v>
      </c>
      <c r="J1430" s="751">
        <v>22</v>
      </c>
      <c r="K1430" s="751">
        <v>2</v>
      </c>
      <c r="L1430" s="752" t="s">
        <v>54</v>
      </c>
      <c r="M1430" s="752" t="s">
        <v>468</v>
      </c>
      <c r="N1430" s="752" t="s">
        <v>469</v>
      </c>
      <c r="O1430" s="752" t="s">
        <v>469</v>
      </c>
      <c r="P1430" s="752" t="s">
        <v>1238</v>
      </c>
      <c r="Q1430" s="753">
        <v>0</v>
      </c>
      <c r="R1430" s="753">
        <v>0</v>
      </c>
      <c r="S1430" s="753">
        <v>33969</v>
      </c>
      <c r="T1430" s="753">
        <v>33969</v>
      </c>
      <c r="U1430" s="753">
        <v>3815</v>
      </c>
      <c r="V1430" s="751">
        <v>2019</v>
      </c>
      <c r="W1430" s="222"/>
      <c r="X1430" s="186"/>
      <c r="Y1430" s="178" t="str">
        <f t="shared" si="74"/>
        <v/>
      </c>
      <c r="Z1430" s="178" t="str">
        <f t="shared" si="75"/>
        <v/>
      </c>
      <c r="AA1430" s="44"/>
      <c r="AB1430" s="65"/>
      <c r="AC1430" s="40"/>
    </row>
    <row r="1431" spans="1:29" hidden="1">
      <c r="A1431" s="751">
        <v>59361</v>
      </c>
      <c r="B1431" s="752" t="s">
        <v>35</v>
      </c>
      <c r="C1431" s="751" t="s">
        <v>2960</v>
      </c>
      <c r="D1431" s="752" t="s">
        <v>1823</v>
      </c>
      <c r="E1431" s="752" t="s">
        <v>2469</v>
      </c>
      <c r="F1431" s="751">
        <v>62060</v>
      </c>
      <c r="G1431" s="752" t="s">
        <v>83</v>
      </c>
      <c r="H1431" s="752" t="s">
        <v>1245</v>
      </c>
      <c r="I1431" s="752" t="s">
        <v>60</v>
      </c>
      <c r="J1431" s="751">
        <v>22</v>
      </c>
      <c r="K1431" s="751">
        <v>2</v>
      </c>
      <c r="L1431" s="752" t="s">
        <v>54</v>
      </c>
      <c r="M1431" s="752" t="s">
        <v>468</v>
      </c>
      <c r="N1431" s="752" t="s">
        <v>469</v>
      </c>
      <c r="O1431" s="752" t="s">
        <v>469</v>
      </c>
      <c r="P1431" s="752" t="s">
        <v>1238</v>
      </c>
      <c r="Q1431" s="753">
        <v>0</v>
      </c>
      <c r="R1431" s="753">
        <v>0</v>
      </c>
      <c r="S1431" s="753">
        <v>14155</v>
      </c>
      <c r="T1431" s="753">
        <v>14155</v>
      </c>
      <c r="U1431" s="753">
        <v>1590</v>
      </c>
      <c r="V1431" s="751">
        <v>2019</v>
      </c>
      <c r="W1431" s="222"/>
      <c r="X1431" s="186"/>
      <c r="Y1431" s="178" t="str">
        <f t="shared" si="74"/>
        <v/>
      </c>
      <c r="Z1431" s="178" t="str">
        <f t="shared" si="75"/>
        <v/>
      </c>
      <c r="AA1431" s="44"/>
      <c r="AB1431" s="65"/>
      <c r="AC1431" s="40"/>
    </row>
    <row r="1432" spans="1:29" hidden="1">
      <c r="A1432" s="751">
        <v>59362</v>
      </c>
      <c r="B1432" s="752" t="s">
        <v>35</v>
      </c>
      <c r="C1432" s="751" t="s">
        <v>2960</v>
      </c>
      <c r="D1432" s="752" t="s">
        <v>1825</v>
      </c>
      <c r="E1432" s="752" t="s">
        <v>2469</v>
      </c>
      <c r="F1432" s="751">
        <v>62060</v>
      </c>
      <c r="G1432" s="752" t="s">
        <v>83</v>
      </c>
      <c r="H1432" s="752" t="s">
        <v>1245</v>
      </c>
      <c r="I1432" s="752" t="s">
        <v>60</v>
      </c>
      <c r="J1432" s="751">
        <v>22</v>
      </c>
      <c r="K1432" s="751">
        <v>2</v>
      </c>
      <c r="L1432" s="752" t="s">
        <v>54</v>
      </c>
      <c r="M1432" s="752" t="s">
        <v>468</v>
      </c>
      <c r="N1432" s="752" t="s">
        <v>469</v>
      </c>
      <c r="O1432" s="752" t="s">
        <v>469</v>
      </c>
      <c r="P1432" s="752" t="s">
        <v>1238</v>
      </c>
      <c r="Q1432" s="753">
        <v>0</v>
      </c>
      <c r="R1432" s="753">
        <v>0</v>
      </c>
      <c r="S1432" s="753">
        <v>14345</v>
      </c>
      <c r="T1432" s="753">
        <v>14345</v>
      </c>
      <c r="U1432" s="753">
        <v>1611</v>
      </c>
      <c r="V1432" s="751">
        <v>2019</v>
      </c>
      <c r="W1432" s="222"/>
      <c r="X1432" s="186"/>
      <c r="Y1432" s="178" t="str">
        <f t="shared" si="74"/>
        <v/>
      </c>
      <c r="Z1432" s="178" t="str">
        <f t="shared" si="75"/>
        <v/>
      </c>
      <c r="AA1432" s="44"/>
      <c r="AB1432" s="65"/>
      <c r="AC1432" s="40"/>
    </row>
    <row r="1433" spans="1:29" hidden="1">
      <c r="A1433" s="751">
        <v>59363</v>
      </c>
      <c r="B1433" s="752" t="s">
        <v>35</v>
      </c>
      <c r="C1433" s="751" t="s">
        <v>2960</v>
      </c>
      <c r="D1433" s="752" t="s">
        <v>1826</v>
      </c>
      <c r="E1433" s="752" t="s">
        <v>2469</v>
      </c>
      <c r="F1433" s="751">
        <v>62060</v>
      </c>
      <c r="G1433" s="752" t="s">
        <v>83</v>
      </c>
      <c r="H1433" s="752" t="s">
        <v>1245</v>
      </c>
      <c r="I1433" s="752" t="s">
        <v>60</v>
      </c>
      <c r="J1433" s="751">
        <v>22</v>
      </c>
      <c r="K1433" s="751">
        <v>2</v>
      </c>
      <c r="L1433" s="752" t="s">
        <v>54</v>
      </c>
      <c r="M1433" s="752" t="s">
        <v>468</v>
      </c>
      <c r="N1433" s="752" t="s">
        <v>469</v>
      </c>
      <c r="O1433" s="752" t="s">
        <v>469</v>
      </c>
      <c r="P1433" s="752" t="s">
        <v>1238</v>
      </c>
      <c r="Q1433" s="753">
        <v>0</v>
      </c>
      <c r="R1433" s="753">
        <v>0</v>
      </c>
      <c r="S1433" s="753">
        <v>14067</v>
      </c>
      <c r="T1433" s="753">
        <v>14067</v>
      </c>
      <c r="U1433" s="753">
        <v>1580</v>
      </c>
      <c r="V1433" s="751">
        <v>2019</v>
      </c>
      <c r="W1433" s="222"/>
      <c r="X1433" s="186"/>
      <c r="Y1433" s="178" t="str">
        <f t="shared" si="74"/>
        <v/>
      </c>
      <c r="Z1433" s="178" t="str">
        <f t="shared" si="75"/>
        <v/>
      </c>
      <c r="AA1433" s="44"/>
      <c r="AB1433" s="65"/>
      <c r="AC1433" s="40"/>
    </row>
    <row r="1434" spans="1:29" hidden="1">
      <c r="A1434" s="751">
        <v>59368</v>
      </c>
      <c r="B1434" s="752" t="s">
        <v>35</v>
      </c>
      <c r="C1434" s="751" t="s">
        <v>2960</v>
      </c>
      <c r="D1434" s="752" t="s">
        <v>1827</v>
      </c>
      <c r="E1434" s="752" t="s">
        <v>1824</v>
      </c>
      <c r="F1434" s="751">
        <v>58258</v>
      </c>
      <c r="G1434" s="752" t="s">
        <v>83</v>
      </c>
      <c r="H1434" s="752" t="s">
        <v>1245</v>
      </c>
      <c r="I1434" s="752" t="s">
        <v>60</v>
      </c>
      <c r="J1434" s="751">
        <v>22</v>
      </c>
      <c r="K1434" s="751">
        <v>2</v>
      </c>
      <c r="L1434" s="752" t="s">
        <v>54</v>
      </c>
      <c r="M1434" s="752" t="s">
        <v>468</v>
      </c>
      <c r="N1434" s="752" t="s">
        <v>469</v>
      </c>
      <c r="O1434" s="752" t="s">
        <v>469</v>
      </c>
      <c r="P1434" s="752" t="s">
        <v>1238</v>
      </c>
      <c r="Q1434" s="753">
        <v>0</v>
      </c>
      <c r="R1434" s="753">
        <v>0</v>
      </c>
      <c r="S1434" s="753">
        <v>21503</v>
      </c>
      <c r="T1434" s="753">
        <v>21503</v>
      </c>
      <c r="U1434" s="753">
        <v>2415</v>
      </c>
      <c r="V1434" s="751">
        <v>2019</v>
      </c>
      <c r="W1434" s="222"/>
      <c r="X1434" s="186"/>
      <c r="Y1434" s="178" t="str">
        <f t="shared" si="74"/>
        <v/>
      </c>
      <c r="Z1434" s="178" t="str">
        <f t="shared" si="75"/>
        <v/>
      </c>
      <c r="AA1434" s="44"/>
      <c r="AB1434" s="65"/>
      <c r="AC1434" s="40"/>
    </row>
    <row r="1435" spans="1:29" hidden="1">
      <c r="A1435" s="751">
        <v>59390</v>
      </c>
      <c r="B1435" s="752" t="s">
        <v>35</v>
      </c>
      <c r="C1435" s="751" t="s">
        <v>2960</v>
      </c>
      <c r="D1435" s="752" t="s">
        <v>1828</v>
      </c>
      <c r="E1435" s="752" t="s">
        <v>1705</v>
      </c>
      <c r="F1435" s="751">
        <v>58677</v>
      </c>
      <c r="G1435" s="752" t="s">
        <v>83</v>
      </c>
      <c r="H1435" s="752" t="s">
        <v>1245</v>
      </c>
      <c r="I1435" s="752" t="s">
        <v>60</v>
      </c>
      <c r="J1435" s="751">
        <v>22</v>
      </c>
      <c r="K1435" s="751">
        <v>2</v>
      </c>
      <c r="L1435" s="752" t="s">
        <v>54</v>
      </c>
      <c r="M1435" s="752" t="s">
        <v>468</v>
      </c>
      <c r="N1435" s="752" t="s">
        <v>469</v>
      </c>
      <c r="O1435" s="752" t="s">
        <v>469</v>
      </c>
      <c r="P1435" s="752" t="s">
        <v>1238</v>
      </c>
      <c r="Q1435" s="753">
        <v>0</v>
      </c>
      <c r="R1435" s="753">
        <v>0</v>
      </c>
      <c r="S1435" s="753">
        <v>60422</v>
      </c>
      <c r="T1435" s="753">
        <v>60422</v>
      </c>
      <c r="U1435" s="753">
        <v>6786</v>
      </c>
      <c r="V1435" s="751">
        <v>2019</v>
      </c>
      <c r="W1435" s="222"/>
      <c r="X1435" s="186"/>
      <c r="Y1435" s="178" t="str">
        <f t="shared" si="74"/>
        <v/>
      </c>
      <c r="Z1435" s="178" t="str">
        <f t="shared" si="75"/>
        <v/>
      </c>
      <c r="AA1435" s="44"/>
      <c r="AB1435" s="65"/>
      <c r="AC1435" s="40"/>
    </row>
    <row r="1436" spans="1:29" hidden="1">
      <c r="A1436" s="751">
        <v>59394</v>
      </c>
      <c r="B1436" s="752" t="s">
        <v>35</v>
      </c>
      <c r="C1436" s="751" t="s">
        <v>2960</v>
      </c>
      <c r="D1436" s="752" t="s">
        <v>1829</v>
      </c>
      <c r="E1436" s="752" t="s">
        <v>1754</v>
      </c>
      <c r="F1436" s="751">
        <v>58440</v>
      </c>
      <c r="G1436" s="752" t="s">
        <v>83</v>
      </c>
      <c r="H1436" s="752" t="s">
        <v>1245</v>
      </c>
      <c r="I1436" s="752" t="s">
        <v>60</v>
      </c>
      <c r="J1436" s="751">
        <v>22</v>
      </c>
      <c r="K1436" s="751">
        <v>2</v>
      </c>
      <c r="L1436" s="752" t="s">
        <v>54</v>
      </c>
      <c r="M1436" s="752" t="s">
        <v>468</v>
      </c>
      <c r="N1436" s="752" t="s">
        <v>469</v>
      </c>
      <c r="O1436" s="752" t="s">
        <v>469</v>
      </c>
      <c r="P1436" s="752" t="s">
        <v>1238</v>
      </c>
      <c r="Q1436" s="753">
        <v>0</v>
      </c>
      <c r="R1436" s="753">
        <v>0</v>
      </c>
      <c r="S1436" s="753">
        <v>19401</v>
      </c>
      <c r="T1436" s="753">
        <v>19401</v>
      </c>
      <c r="U1436" s="753">
        <v>2179</v>
      </c>
      <c r="V1436" s="751">
        <v>2019</v>
      </c>
      <c r="W1436" s="222"/>
      <c r="X1436" s="186"/>
      <c r="Y1436" s="178" t="str">
        <f t="shared" si="74"/>
        <v/>
      </c>
      <c r="Z1436" s="178" t="str">
        <f t="shared" si="75"/>
        <v/>
      </c>
      <c r="AA1436" s="44"/>
      <c r="AB1436" s="65"/>
      <c r="AC1436" s="40"/>
    </row>
    <row r="1437" spans="1:29" hidden="1">
      <c r="A1437" s="751">
        <v>59396</v>
      </c>
      <c r="B1437" s="752" t="s">
        <v>35</v>
      </c>
      <c r="C1437" s="751" t="s">
        <v>2960</v>
      </c>
      <c r="D1437" s="752" t="s">
        <v>1830</v>
      </c>
      <c r="E1437" s="752" t="s">
        <v>1831</v>
      </c>
      <c r="F1437" s="751">
        <v>59174</v>
      </c>
      <c r="G1437" s="752" t="s">
        <v>83</v>
      </c>
      <c r="H1437" s="752" t="s">
        <v>1245</v>
      </c>
      <c r="I1437" s="752" t="s">
        <v>60</v>
      </c>
      <c r="J1437" s="751">
        <v>22</v>
      </c>
      <c r="K1437" s="751">
        <v>2</v>
      </c>
      <c r="L1437" s="752" t="s">
        <v>54</v>
      </c>
      <c r="M1437" s="752" t="s">
        <v>468</v>
      </c>
      <c r="N1437" s="752" t="s">
        <v>469</v>
      </c>
      <c r="O1437" s="752" t="s">
        <v>469</v>
      </c>
      <c r="P1437" s="752" t="s">
        <v>1238</v>
      </c>
      <c r="Q1437" s="753">
        <v>0</v>
      </c>
      <c r="R1437" s="753">
        <v>0</v>
      </c>
      <c r="S1437" s="753">
        <v>60137</v>
      </c>
      <c r="T1437" s="753">
        <v>60137</v>
      </c>
      <c r="U1437" s="753">
        <v>6754</v>
      </c>
      <c r="V1437" s="751">
        <v>2019</v>
      </c>
      <c r="W1437" s="222"/>
      <c r="X1437" s="186"/>
      <c r="Y1437" s="178" t="str">
        <f t="shared" si="74"/>
        <v/>
      </c>
      <c r="Z1437" s="178" t="str">
        <f t="shared" si="75"/>
        <v/>
      </c>
      <c r="AA1437" s="44"/>
      <c r="AB1437" s="65"/>
      <c r="AC1437" s="40"/>
    </row>
    <row r="1438" spans="1:29" hidden="1">
      <c r="A1438" s="751">
        <v>59415</v>
      </c>
      <c r="B1438" s="752" t="s">
        <v>35</v>
      </c>
      <c r="C1438" s="751" t="s">
        <v>2960</v>
      </c>
      <c r="D1438" s="752" t="s">
        <v>1832</v>
      </c>
      <c r="E1438" s="752" t="s">
        <v>385</v>
      </c>
      <c r="F1438" s="751">
        <v>4180</v>
      </c>
      <c r="G1438" s="752" t="s">
        <v>43</v>
      </c>
      <c r="H1438" s="752" t="s">
        <v>1245</v>
      </c>
      <c r="I1438" s="752" t="s">
        <v>60</v>
      </c>
      <c r="J1438" s="751">
        <v>22</v>
      </c>
      <c r="K1438" s="751">
        <v>1</v>
      </c>
      <c r="L1438" s="752" t="s">
        <v>36</v>
      </c>
      <c r="M1438" s="752" t="s">
        <v>53</v>
      </c>
      <c r="N1438" s="752" t="s">
        <v>48</v>
      </c>
      <c r="O1438" s="752" t="s">
        <v>48</v>
      </c>
      <c r="P1438" s="752" t="s">
        <v>49</v>
      </c>
      <c r="Q1438" s="753">
        <v>1728</v>
      </c>
      <c r="R1438" s="753">
        <v>1728</v>
      </c>
      <c r="S1438" s="753">
        <v>10056</v>
      </c>
      <c r="T1438" s="753">
        <v>10056</v>
      </c>
      <c r="U1438" s="753">
        <v>991</v>
      </c>
      <c r="V1438" s="751">
        <v>2019</v>
      </c>
      <c r="W1438" s="222"/>
      <c r="X1438" s="186"/>
      <c r="Y1438" s="178" t="str">
        <f t="shared" si="74"/>
        <v/>
      </c>
      <c r="Z1438" s="178" t="str">
        <f t="shared" si="75"/>
        <v/>
      </c>
      <c r="AA1438" s="44"/>
      <c r="AB1438" s="65"/>
      <c r="AC1438" s="40"/>
    </row>
    <row r="1439" spans="1:29" hidden="1">
      <c r="A1439" s="751">
        <v>59437</v>
      </c>
      <c r="B1439" s="752" t="s">
        <v>35</v>
      </c>
      <c r="C1439" s="751" t="s">
        <v>2960</v>
      </c>
      <c r="D1439" s="752" t="s">
        <v>1833</v>
      </c>
      <c r="E1439" s="752" t="s">
        <v>1637</v>
      </c>
      <c r="F1439" s="751">
        <v>59178</v>
      </c>
      <c r="G1439" s="752" t="s">
        <v>92</v>
      </c>
      <c r="H1439" s="752" t="s">
        <v>1245</v>
      </c>
      <c r="I1439" s="752" t="s">
        <v>60</v>
      </c>
      <c r="J1439" s="751">
        <v>22</v>
      </c>
      <c r="K1439" s="751">
        <v>2</v>
      </c>
      <c r="L1439" s="752" t="s">
        <v>54</v>
      </c>
      <c r="M1439" s="752" t="s">
        <v>37</v>
      </c>
      <c r="N1439" s="752" t="s">
        <v>38</v>
      </c>
      <c r="O1439" s="752" t="s">
        <v>39</v>
      </c>
      <c r="P1439" s="752" t="s">
        <v>1238</v>
      </c>
      <c r="Q1439" s="753">
        <v>0</v>
      </c>
      <c r="R1439" s="753">
        <v>0</v>
      </c>
      <c r="S1439" s="753">
        <v>103357</v>
      </c>
      <c r="T1439" s="753">
        <v>103357</v>
      </c>
      <c r="U1439" s="753">
        <v>11608</v>
      </c>
      <c r="V1439" s="751">
        <v>2019</v>
      </c>
      <c r="W1439" s="222"/>
      <c r="X1439" s="186"/>
      <c r="Y1439" s="178" t="str">
        <f t="shared" si="74"/>
        <v/>
      </c>
      <c r="Z1439" s="178" t="str">
        <f t="shared" si="75"/>
        <v/>
      </c>
      <c r="AA1439" s="44"/>
      <c r="AB1439" s="65"/>
      <c r="AC1439" s="40"/>
    </row>
    <row r="1440" spans="1:29" hidden="1">
      <c r="A1440" s="751">
        <v>59438</v>
      </c>
      <c r="B1440" s="752" t="s">
        <v>35</v>
      </c>
      <c r="C1440" s="751" t="s">
        <v>2960</v>
      </c>
      <c r="D1440" s="752" t="s">
        <v>1834</v>
      </c>
      <c r="E1440" s="752" t="s">
        <v>1637</v>
      </c>
      <c r="F1440" s="751">
        <v>59178</v>
      </c>
      <c r="G1440" s="752" t="s">
        <v>92</v>
      </c>
      <c r="H1440" s="752" t="s">
        <v>1245</v>
      </c>
      <c r="I1440" s="752" t="s">
        <v>60</v>
      </c>
      <c r="J1440" s="751">
        <v>22</v>
      </c>
      <c r="K1440" s="751">
        <v>2</v>
      </c>
      <c r="L1440" s="752" t="s">
        <v>54</v>
      </c>
      <c r="M1440" s="752" t="s">
        <v>37</v>
      </c>
      <c r="N1440" s="752" t="s">
        <v>38</v>
      </c>
      <c r="O1440" s="752" t="s">
        <v>39</v>
      </c>
      <c r="P1440" s="752" t="s">
        <v>1238</v>
      </c>
      <c r="Q1440" s="753">
        <v>0</v>
      </c>
      <c r="R1440" s="753">
        <v>0</v>
      </c>
      <c r="S1440" s="753">
        <v>214559</v>
      </c>
      <c r="T1440" s="753">
        <v>214559</v>
      </c>
      <c r="U1440" s="753">
        <v>24097</v>
      </c>
      <c r="V1440" s="751">
        <v>2019</v>
      </c>
      <c r="W1440" s="222"/>
      <c r="X1440" s="186"/>
      <c r="Y1440" s="178" t="str">
        <f t="shared" si="74"/>
        <v/>
      </c>
      <c r="Z1440" s="178" t="str">
        <f t="shared" si="75"/>
        <v/>
      </c>
      <c r="AA1440" s="44"/>
      <c r="AB1440" s="65"/>
      <c r="AC1440" s="40"/>
    </row>
    <row r="1441" spans="1:29" hidden="1">
      <c r="A1441" s="751">
        <v>59445</v>
      </c>
      <c r="B1441" s="752" t="s">
        <v>35</v>
      </c>
      <c r="C1441" s="751" t="s">
        <v>2960</v>
      </c>
      <c r="D1441" s="752" t="s">
        <v>1835</v>
      </c>
      <c r="E1441" s="752" t="s">
        <v>2477</v>
      </c>
      <c r="F1441" s="751">
        <v>59215</v>
      </c>
      <c r="G1441" s="752" t="s">
        <v>91</v>
      </c>
      <c r="H1441" s="752" t="s">
        <v>1245</v>
      </c>
      <c r="I1441" s="752" t="s">
        <v>60</v>
      </c>
      <c r="J1441" s="751">
        <v>22</v>
      </c>
      <c r="K1441" s="751">
        <v>2</v>
      </c>
      <c r="L1441" s="752" t="s">
        <v>54</v>
      </c>
      <c r="M1441" s="752" t="s">
        <v>468</v>
      </c>
      <c r="N1441" s="752" t="s">
        <v>469</v>
      </c>
      <c r="O1441" s="752" t="s">
        <v>469</v>
      </c>
      <c r="P1441" s="752" t="s">
        <v>1238</v>
      </c>
      <c r="Q1441" s="753">
        <v>0</v>
      </c>
      <c r="R1441" s="753">
        <v>0</v>
      </c>
      <c r="S1441" s="753">
        <v>25013</v>
      </c>
      <c r="T1441" s="753">
        <v>25013</v>
      </c>
      <c r="U1441" s="753">
        <v>2809</v>
      </c>
      <c r="V1441" s="751">
        <v>2019</v>
      </c>
      <c r="W1441" s="222"/>
      <c r="X1441" s="186"/>
      <c r="Y1441" s="178" t="str">
        <f t="shared" si="74"/>
        <v/>
      </c>
      <c r="Z1441" s="178" t="str">
        <f t="shared" si="75"/>
        <v/>
      </c>
      <c r="AA1441" s="44"/>
      <c r="AB1441" s="65"/>
      <c r="AC1441" s="40"/>
    </row>
    <row r="1442" spans="1:29" ht="25" hidden="1">
      <c r="A1442" s="751">
        <v>59453</v>
      </c>
      <c r="B1442" s="752" t="s">
        <v>56</v>
      </c>
      <c r="C1442" s="751" t="s">
        <v>2960</v>
      </c>
      <c r="D1442" s="752" t="s">
        <v>1836</v>
      </c>
      <c r="E1442" s="752" t="s">
        <v>1837</v>
      </c>
      <c r="F1442" s="751">
        <v>59219</v>
      </c>
      <c r="G1442" s="752" t="s">
        <v>59</v>
      </c>
      <c r="H1442" s="752" t="s">
        <v>1244</v>
      </c>
      <c r="I1442" s="752" t="s">
        <v>60</v>
      </c>
      <c r="J1442" s="751">
        <v>622</v>
      </c>
      <c r="K1442" s="751">
        <v>5</v>
      </c>
      <c r="L1442" s="752" t="s">
        <v>423</v>
      </c>
      <c r="M1442" s="752" t="s">
        <v>52</v>
      </c>
      <c r="N1442" s="752" t="s">
        <v>41</v>
      </c>
      <c r="O1442" s="752" t="s">
        <v>41</v>
      </c>
      <c r="P1442" s="752" t="s">
        <v>1091</v>
      </c>
      <c r="Q1442" s="753">
        <v>460483</v>
      </c>
      <c r="R1442" s="753">
        <v>159682</v>
      </c>
      <c r="S1442" s="753">
        <v>473376</v>
      </c>
      <c r="T1442" s="753">
        <v>164153</v>
      </c>
      <c r="U1442" s="753">
        <v>27594</v>
      </c>
      <c r="V1442" s="751">
        <v>2019</v>
      </c>
      <c r="W1442" s="222"/>
      <c r="X1442" s="186"/>
      <c r="Y1442" s="178">
        <f t="shared" si="74"/>
        <v>6.5980898857611194</v>
      </c>
      <c r="Z1442" s="178" t="str">
        <f t="shared" si="75"/>
        <v/>
      </c>
      <c r="AA1442" s="44"/>
      <c r="AB1442" s="65"/>
      <c r="AC1442" s="40"/>
    </row>
    <row r="1443" spans="1:29" hidden="1">
      <c r="A1443" s="751">
        <v>59463</v>
      </c>
      <c r="B1443" s="752" t="s">
        <v>35</v>
      </c>
      <c r="C1443" s="751" t="s">
        <v>2960</v>
      </c>
      <c r="D1443" s="752" t="s">
        <v>1838</v>
      </c>
      <c r="E1443" s="752" t="s">
        <v>1839</v>
      </c>
      <c r="F1443" s="751">
        <v>59230</v>
      </c>
      <c r="G1443" s="752" t="s">
        <v>83</v>
      </c>
      <c r="H1443" s="752" t="s">
        <v>1245</v>
      </c>
      <c r="I1443" s="752" t="s">
        <v>60</v>
      </c>
      <c r="J1443" s="751">
        <v>22</v>
      </c>
      <c r="K1443" s="751">
        <v>2</v>
      </c>
      <c r="L1443" s="752" t="s">
        <v>54</v>
      </c>
      <c r="M1443" s="752" t="s">
        <v>468</v>
      </c>
      <c r="N1443" s="752" t="s">
        <v>469</v>
      </c>
      <c r="O1443" s="752" t="s">
        <v>469</v>
      </c>
      <c r="P1443" s="752" t="s">
        <v>1238</v>
      </c>
      <c r="Q1443" s="753">
        <v>0</v>
      </c>
      <c r="R1443" s="753">
        <v>0</v>
      </c>
      <c r="S1443" s="753">
        <v>26000</v>
      </c>
      <c r="T1443" s="753">
        <v>26000</v>
      </c>
      <c r="U1443" s="753">
        <v>2920</v>
      </c>
      <c r="V1443" s="751">
        <v>2019</v>
      </c>
      <c r="W1443" s="222"/>
      <c r="X1443" s="186"/>
      <c r="Y1443" s="178" t="str">
        <f t="shared" si="74"/>
        <v/>
      </c>
      <c r="Z1443" s="178" t="str">
        <f t="shared" si="75"/>
        <v/>
      </c>
      <c r="AA1443" s="44"/>
      <c r="AB1443" s="65"/>
      <c r="AC1443" s="40"/>
    </row>
    <row r="1444" spans="1:29" hidden="1">
      <c r="A1444" s="751">
        <v>59464</v>
      </c>
      <c r="B1444" s="752" t="s">
        <v>35</v>
      </c>
      <c r="C1444" s="751" t="s">
        <v>2960</v>
      </c>
      <c r="D1444" s="752" t="s">
        <v>1840</v>
      </c>
      <c r="E1444" s="752" t="s">
        <v>1839</v>
      </c>
      <c r="F1444" s="751">
        <v>59230</v>
      </c>
      <c r="G1444" s="752" t="s">
        <v>83</v>
      </c>
      <c r="H1444" s="752" t="s">
        <v>1245</v>
      </c>
      <c r="I1444" s="752" t="s">
        <v>60</v>
      </c>
      <c r="J1444" s="751">
        <v>22</v>
      </c>
      <c r="K1444" s="751">
        <v>2</v>
      </c>
      <c r="L1444" s="752" t="s">
        <v>54</v>
      </c>
      <c r="M1444" s="752" t="s">
        <v>468</v>
      </c>
      <c r="N1444" s="752" t="s">
        <v>469</v>
      </c>
      <c r="O1444" s="752" t="s">
        <v>469</v>
      </c>
      <c r="P1444" s="752" t="s">
        <v>1238</v>
      </c>
      <c r="Q1444" s="753">
        <v>0</v>
      </c>
      <c r="R1444" s="753">
        <v>0</v>
      </c>
      <c r="S1444" s="753">
        <v>36302</v>
      </c>
      <c r="T1444" s="753">
        <v>36302</v>
      </c>
      <c r="U1444" s="753">
        <v>4077</v>
      </c>
      <c r="V1444" s="751">
        <v>2019</v>
      </c>
      <c r="W1444" s="222"/>
      <c r="X1444" s="186"/>
      <c r="Y1444" s="178" t="str">
        <f t="shared" si="74"/>
        <v/>
      </c>
      <c r="Z1444" s="178" t="str">
        <f t="shared" si="75"/>
        <v/>
      </c>
      <c r="AA1444" s="44"/>
      <c r="AB1444" s="65"/>
      <c r="AC1444" s="40"/>
    </row>
    <row r="1445" spans="1:29" hidden="1">
      <c r="A1445" s="751">
        <v>59465</v>
      </c>
      <c r="B1445" s="752" t="s">
        <v>35</v>
      </c>
      <c r="C1445" s="751" t="s">
        <v>2960</v>
      </c>
      <c r="D1445" s="752" t="s">
        <v>1841</v>
      </c>
      <c r="E1445" s="752" t="s">
        <v>1839</v>
      </c>
      <c r="F1445" s="751">
        <v>59230</v>
      </c>
      <c r="G1445" s="752" t="s">
        <v>83</v>
      </c>
      <c r="H1445" s="752" t="s">
        <v>1245</v>
      </c>
      <c r="I1445" s="752" t="s">
        <v>60</v>
      </c>
      <c r="J1445" s="751">
        <v>22</v>
      </c>
      <c r="K1445" s="751">
        <v>2</v>
      </c>
      <c r="L1445" s="752" t="s">
        <v>54</v>
      </c>
      <c r="M1445" s="752" t="s">
        <v>468</v>
      </c>
      <c r="N1445" s="752" t="s">
        <v>469</v>
      </c>
      <c r="O1445" s="752" t="s">
        <v>469</v>
      </c>
      <c r="P1445" s="752" t="s">
        <v>1238</v>
      </c>
      <c r="Q1445" s="753">
        <v>0</v>
      </c>
      <c r="R1445" s="753">
        <v>0</v>
      </c>
      <c r="S1445" s="753">
        <v>20078</v>
      </c>
      <c r="T1445" s="753">
        <v>20078</v>
      </c>
      <c r="U1445" s="753">
        <v>2255</v>
      </c>
      <c r="V1445" s="751">
        <v>2019</v>
      </c>
      <c r="W1445" s="222"/>
      <c r="X1445" s="186"/>
      <c r="Y1445" s="178" t="str">
        <f t="shared" si="74"/>
        <v/>
      </c>
      <c r="Z1445" s="178" t="str">
        <f t="shared" si="75"/>
        <v/>
      </c>
      <c r="AA1445" s="44"/>
      <c r="AB1445" s="65"/>
      <c r="AC1445" s="40"/>
    </row>
    <row r="1446" spans="1:29" hidden="1">
      <c r="A1446" s="751">
        <v>59466</v>
      </c>
      <c r="B1446" s="752" t="s">
        <v>35</v>
      </c>
      <c r="C1446" s="751" t="s">
        <v>2960</v>
      </c>
      <c r="D1446" s="752" t="s">
        <v>1842</v>
      </c>
      <c r="E1446" s="752" t="s">
        <v>1839</v>
      </c>
      <c r="F1446" s="751">
        <v>59230</v>
      </c>
      <c r="G1446" s="752" t="s">
        <v>83</v>
      </c>
      <c r="H1446" s="752" t="s">
        <v>1245</v>
      </c>
      <c r="I1446" s="752" t="s">
        <v>60</v>
      </c>
      <c r="J1446" s="751">
        <v>22</v>
      </c>
      <c r="K1446" s="751">
        <v>2</v>
      </c>
      <c r="L1446" s="752" t="s">
        <v>54</v>
      </c>
      <c r="M1446" s="752" t="s">
        <v>468</v>
      </c>
      <c r="N1446" s="752" t="s">
        <v>469</v>
      </c>
      <c r="O1446" s="752" t="s">
        <v>469</v>
      </c>
      <c r="P1446" s="752" t="s">
        <v>1238</v>
      </c>
      <c r="Q1446" s="753">
        <v>0</v>
      </c>
      <c r="R1446" s="753">
        <v>0</v>
      </c>
      <c r="S1446" s="753">
        <v>28476</v>
      </c>
      <c r="T1446" s="753">
        <v>28476</v>
      </c>
      <c r="U1446" s="753">
        <v>3198</v>
      </c>
      <c r="V1446" s="751">
        <v>2019</v>
      </c>
      <c r="W1446" s="222"/>
      <c r="X1446" s="186"/>
      <c r="Y1446" s="178" t="str">
        <f t="shared" si="74"/>
        <v/>
      </c>
      <c r="Z1446" s="178" t="str">
        <f t="shared" si="75"/>
        <v/>
      </c>
      <c r="AA1446" s="44"/>
      <c r="AB1446" s="65"/>
      <c r="AC1446" s="40"/>
    </row>
    <row r="1447" spans="1:29" hidden="1">
      <c r="A1447" s="751">
        <v>59468</v>
      </c>
      <c r="B1447" s="752" t="s">
        <v>35</v>
      </c>
      <c r="C1447" s="751" t="s">
        <v>2960</v>
      </c>
      <c r="D1447" s="752" t="s">
        <v>1843</v>
      </c>
      <c r="E1447" s="752" t="s">
        <v>1844</v>
      </c>
      <c r="F1447" s="751">
        <v>59232</v>
      </c>
      <c r="G1447" s="752" t="s">
        <v>83</v>
      </c>
      <c r="H1447" s="752" t="s">
        <v>1245</v>
      </c>
      <c r="I1447" s="752" t="s">
        <v>60</v>
      </c>
      <c r="J1447" s="751">
        <v>22</v>
      </c>
      <c r="K1447" s="751">
        <v>2</v>
      </c>
      <c r="L1447" s="752" t="s">
        <v>54</v>
      </c>
      <c r="M1447" s="752" t="s">
        <v>468</v>
      </c>
      <c r="N1447" s="752" t="s">
        <v>469</v>
      </c>
      <c r="O1447" s="752" t="s">
        <v>469</v>
      </c>
      <c r="P1447" s="752" t="s">
        <v>1238</v>
      </c>
      <c r="Q1447" s="753">
        <v>0</v>
      </c>
      <c r="R1447" s="753">
        <v>0</v>
      </c>
      <c r="S1447" s="753">
        <v>26660</v>
      </c>
      <c r="T1447" s="753">
        <v>26660</v>
      </c>
      <c r="U1447" s="753">
        <v>2994</v>
      </c>
      <c r="V1447" s="751">
        <v>2019</v>
      </c>
      <c r="W1447" s="222"/>
      <c r="X1447" s="186"/>
      <c r="Y1447" s="178" t="str">
        <f t="shared" si="74"/>
        <v/>
      </c>
      <c r="Z1447" s="178" t="str">
        <f t="shared" si="75"/>
        <v/>
      </c>
      <c r="AA1447" s="44"/>
      <c r="AB1447" s="65"/>
      <c r="AC1447" s="40"/>
    </row>
    <row r="1448" spans="1:29" hidden="1">
      <c r="A1448" s="751">
        <v>59470</v>
      </c>
      <c r="B1448" s="752" t="s">
        <v>35</v>
      </c>
      <c r="C1448" s="751" t="s">
        <v>2960</v>
      </c>
      <c r="D1448" s="752" t="s">
        <v>1845</v>
      </c>
      <c r="E1448" s="752" t="s">
        <v>1846</v>
      </c>
      <c r="F1448" s="751">
        <v>59237</v>
      </c>
      <c r="G1448" s="752" t="s">
        <v>59</v>
      </c>
      <c r="H1448" s="752" t="s">
        <v>1244</v>
      </c>
      <c r="I1448" s="752" t="s">
        <v>60</v>
      </c>
      <c r="J1448" s="751">
        <v>22</v>
      </c>
      <c r="K1448" s="751">
        <v>2</v>
      </c>
      <c r="L1448" s="752" t="s">
        <v>54</v>
      </c>
      <c r="M1448" s="752" t="s">
        <v>468</v>
      </c>
      <c r="N1448" s="752" t="s">
        <v>469</v>
      </c>
      <c r="O1448" s="752" t="s">
        <v>469</v>
      </c>
      <c r="P1448" s="752" t="s">
        <v>1238</v>
      </c>
      <c r="Q1448" s="753">
        <v>0</v>
      </c>
      <c r="R1448" s="753">
        <v>0</v>
      </c>
      <c r="S1448" s="753">
        <v>17968</v>
      </c>
      <c r="T1448" s="753">
        <v>17968</v>
      </c>
      <c r="U1448" s="753">
        <v>2018</v>
      </c>
      <c r="V1448" s="751">
        <v>2019</v>
      </c>
      <c r="W1448" s="222"/>
      <c r="X1448" s="186"/>
      <c r="Y1448" s="178" t="str">
        <f t="shared" si="74"/>
        <v/>
      </c>
      <c r="Z1448" s="178" t="str">
        <f t="shared" si="75"/>
        <v/>
      </c>
      <c r="AA1448" s="44"/>
      <c r="AB1448" s="65"/>
      <c r="AC1448" s="40"/>
    </row>
    <row r="1449" spans="1:29" hidden="1">
      <c r="A1449" s="751">
        <v>59476</v>
      </c>
      <c r="B1449" s="752" t="s">
        <v>35</v>
      </c>
      <c r="C1449" s="751" t="s">
        <v>2960</v>
      </c>
      <c r="D1449" s="752" t="s">
        <v>1847</v>
      </c>
      <c r="E1449" s="752" t="s">
        <v>1848</v>
      </c>
      <c r="F1449" s="751">
        <v>59240</v>
      </c>
      <c r="G1449" s="752" t="s">
        <v>91</v>
      </c>
      <c r="H1449" s="752" t="s">
        <v>1245</v>
      </c>
      <c r="I1449" s="752" t="s">
        <v>60</v>
      </c>
      <c r="J1449" s="751">
        <v>22</v>
      </c>
      <c r="K1449" s="751">
        <v>2</v>
      </c>
      <c r="L1449" s="752" t="s">
        <v>54</v>
      </c>
      <c r="M1449" s="752" t="s">
        <v>468</v>
      </c>
      <c r="N1449" s="752" t="s">
        <v>469</v>
      </c>
      <c r="O1449" s="752" t="s">
        <v>469</v>
      </c>
      <c r="P1449" s="752" t="s">
        <v>1238</v>
      </c>
      <c r="Q1449" s="753">
        <v>0</v>
      </c>
      <c r="R1449" s="753">
        <v>0</v>
      </c>
      <c r="S1449" s="753">
        <v>25423</v>
      </c>
      <c r="T1449" s="753">
        <v>25423</v>
      </c>
      <c r="U1449" s="753">
        <v>2855</v>
      </c>
      <c r="V1449" s="751">
        <v>2019</v>
      </c>
      <c r="W1449" s="222"/>
      <c r="X1449" s="186"/>
      <c r="Y1449" s="178" t="str">
        <f t="shared" si="74"/>
        <v/>
      </c>
      <c r="Z1449" s="178" t="str">
        <f t="shared" si="75"/>
        <v/>
      </c>
      <c r="AA1449" s="44"/>
      <c r="AB1449" s="65"/>
      <c r="AC1449" s="40"/>
    </row>
    <row r="1450" spans="1:29" hidden="1">
      <c r="A1450" s="751">
        <v>59477</v>
      </c>
      <c r="B1450" s="752" t="s">
        <v>35</v>
      </c>
      <c r="C1450" s="751" t="s">
        <v>2960</v>
      </c>
      <c r="D1450" s="752" t="s">
        <v>1849</v>
      </c>
      <c r="E1450" s="752" t="s">
        <v>1850</v>
      </c>
      <c r="F1450" s="751">
        <v>59241</v>
      </c>
      <c r="G1450" s="752" t="s">
        <v>91</v>
      </c>
      <c r="H1450" s="752" t="s">
        <v>1245</v>
      </c>
      <c r="I1450" s="752" t="s">
        <v>60</v>
      </c>
      <c r="J1450" s="751">
        <v>22</v>
      </c>
      <c r="K1450" s="751">
        <v>2</v>
      </c>
      <c r="L1450" s="752" t="s">
        <v>54</v>
      </c>
      <c r="M1450" s="752" t="s">
        <v>468</v>
      </c>
      <c r="N1450" s="752" t="s">
        <v>469</v>
      </c>
      <c r="O1450" s="752" t="s">
        <v>469</v>
      </c>
      <c r="P1450" s="752" t="s">
        <v>1238</v>
      </c>
      <c r="Q1450" s="753">
        <v>0</v>
      </c>
      <c r="R1450" s="753">
        <v>0</v>
      </c>
      <c r="S1450" s="753">
        <v>30896</v>
      </c>
      <c r="T1450" s="753">
        <v>30896</v>
      </c>
      <c r="U1450" s="753">
        <v>3470</v>
      </c>
      <c r="V1450" s="751">
        <v>2019</v>
      </c>
      <c r="W1450" s="222"/>
      <c r="X1450" s="186"/>
      <c r="Y1450" s="178" t="str">
        <f t="shared" si="74"/>
        <v/>
      </c>
      <c r="Z1450" s="178" t="str">
        <f t="shared" si="75"/>
        <v/>
      </c>
      <c r="AA1450" s="44"/>
      <c r="AB1450" s="65"/>
      <c r="AC1450" s="40"/>
    </row>
    <row r="1451" spans="1:29" hidden="1">
      <c r="A1451" s="751">
        <v>59484</v>
      </c>
      <c r="B1451" s="752" t="s">
        <v>35</v>
      </c>
      <c r="C1451" s="751" t="s">
        <v>2960</v>
      </c>
      <c r="D1451" s="752" t="s">
        <v>2266</v>
      </c>
      <c r="E1451" s="752" t="s">
        <v>1851</v>
      </c>
      <c r="F1451" s="751">
        <v>59254</v>
      </c>
      <c r="G1451" s="752" t="s">
        <v>83</v>
      </c>
      <c r="H1451" s="752" t="s">
        <v>1245</v>
      </c>
      <c r="I1451" s="752" t="s">
        <v>60</v>
      </c>
      <c r="J1451" s="751">
        <v>22</v>
      </c>
      <c r="K1451" s="751">
        <v>2</v>
      </c>
      <c r="L1451" s="752" t="s">
        <v>54</v>
      </c>
      <c r="M1451" s="752" t="s">
        <v>468</v>
      </c>
      <c r="N1451" s="752" t="s">
        <v>469</v>
      </c>
      <c r="O1451" s="752" t="s">
        <v>469</v>
      </c>
      <c r="P1451" s="752" t="s">
        <v>1238</v>
      </c>
      <c r="Q1451" s="753">
        <v>0</v>
      </c>
      <c r="R1451" s="753">
        <v>0</v>
      </c>
      <c r="S1451" s="753">
        <v>31039</v>
      </c>
      <c r="T1451" s="753">
        <v>31039</v>
      </c>
      <c r="U1451" s="753">
        <v>3486</v>
      </c>
      <c r="V1451" s="751">
        <v>2019</v>
      </c>
      <c r="W1451" s="222"/>
      <c r="X1451" s="186"/>
      <c r="Y1451" s="178" t="str">
        <f t="shared" si="74"/>
        <v/>
      </c>
      <c r="Z1451" s="178" t="str">
        <f t="shared" si="75"/>
        <v/>
      </c>
      <c r="AA1451" s="44"/>
      <c r="AB1451" s="65"/>
      <c r="AC1451" s="40"/>
    </row>
    <row r="1452" spans="1:29" hidden="1">
      <c r="A1452" s="751">
        <v>59485</v>
      </c>
      <c r="B1452" s="752" t="s">
        <v>35</v>
      </c>
      <c r="C1452" s="751" t="s">
        <v>2960</v>
      </c>
      <c r="D1452" s="752" t="s">
        <v>1852</v>
      </c>
      <c r="E1452" s="752" t="s">
        <v>1851</v>
      </c>
      <c r="F1452" s="751">
        <v>59254</v>
      </c>
      <c r="G1452" s="752" t="s">
        <v>83</v>
      </c>
      <c r="H1452" s="752" t="s">
        <v>1245</v>
      </c>
      <c r="I1452" s="752" t="s">
        <v>60</v>
      </c>
      <c r="J1452" s="751">
        <v>22</v>
      </c>
      <c r="K1452" s="751">
        <v>2</v>
      </c>
      <c r="L1452" s="752" t="s">
        <v>54</v>
      </c>
      <c r="M1452" s="752" t="s">
        <v>468</v>
      </c>
      <c r="N1452" s="752" t="s">
        <v>469</v>
      </c>
      <c r="O1452" s="752" t="s">
        <v>469</v>
      </c>
      <c r="P1452" s="752" t="s">
        <v>1238</v>
      </c>
      <c r="Q1452" s="753">
        <v>0</v>
      </c>
      <c r="R1452" s="753">
        <v>0</v>
      </c>
      <c r="S1452" s="753">
        <v>12038</v>
      </c>
      <c r="T1452" s="753">
        <v>12038</v>
      </c>
      <c r="U1452" s="753">
        <v>1352</v>
      </c>
      <c r="V1452" s="751">
        <v>2019</v>
      </c>
      <c r="W1452" s="222"/>
      <c r="X1452" s="186"/>
      <c r="Y1452" s="178" t="str">
        <f t="shared" si="74"/>
        <v/>
      </c>
      <c r="Z1452" s="178" t="str">
        <f t="shared" si="75"/>
        <v/>
      </c>
      <c r="AA1452" s="44"/>
      <c r="AB1452" s="65"/>
      <c r="AC1452" s="40"/>
    </row>
    <row r="1453" spans="1:29" hidden="1">
      <c r="A1453" s="751">
        <v>59495</v>
      </c>
      <c r="B1453" s="752" t="s">
        <v>35</v>
      </c>
      <c r="C1453" s="751" t="s">
        <v>2960</v>
      </c>
      <c r="D1453" s="752" t="s">
        <v>1853</v>
      </c>
      <c r="E1453" s="752" t="s">
        <v>1854</v>
      </c>
      <c r="F1453" s="751">
        <v>59252</v>
      </c>
      <c r="G1453" s="752" t="s">
        <v>43</v>
      </c>
      <c r="H1453" s="752" t="s">
        <v>1245</v>
      </c>
      <c r="I1453" s="752" t="s">
        <v>60</v>
      </c>
      <c r="J1453" s="751">
        <v>22</v>
      </c>
      <c r="K1453" s="751">
        <v>2</v>
      </c>
      <c r="L1453" s="752" t="s">
        <v>54</v>
      </c>
      <c r="M1453" s="752" t="s">
        <v>468</v>
      </c>
      <c r="N1453" s="752" t="s">
        <v>469</v>
      </c>
      <c r="O1453" s="752" t="s">
        <v>469</v>
      </c>
      <c r="P1453" s="752" t="s">
        <v>1238</v>
      </c>
      <c r="Q1453" s="753">
        <v>0</v>
      </c>
      <c r="R1453" s="753">
        <v>0</v>
      </c>
      <c r="S1453" s="753">
        <v>52248</v>
      </c>
      <c r="T1453" s="753">
        <v>52248</v>
      </c>
      <c r="U1453" s="753">
        <v>5868</v>
      </c>
      <c r="V1453" s="751">
        <v>2019</v>
      </c>
      <c r="W1453" s="222"/>
      <c r="X1453" s="186"/>
      <c r="Y1453" s="178" t="str">
        <f t="shared" si="74"/>
        <v/>
      </c>
      <c r="Z1453" s="178" t="str">
        <f t="shared" si="75"/>
        <v/>
      </c>
      <c r="AA1453" s="44"/>
      <c r="AB1453" s="65"/>
      <c r="AC1453" s="40"/>
    </row>
    <row r="1454" spans="1:29" ht="25" hidden="1">
      <c r="A1454" s="751">
        <v>59543</v>
      </c>
      <c r="B1454" s="752" t="s">
        <v>35</v>
      </c>
      <c r="C1454" s="751" t="s">
        <v>2960</v>
      </c>
      <c r="D1454" s="752" t="s">
        <v>1855</v>
      </c>
      <c r="E1454" s="752" t="s">
        <v>1856</v>
      </c>
      <c r="F1454" s="751">
        <v>59286</v>
      </c>
      <c r="G1454" s="752" t="s">
        <v>83</v>
      </c>
      <c r="H1454" s="752" t="s">
        <v>1245</v>
      </c>
      <c r="I1454" s="752" t="s">
        <v>60</v>
      </c>
      <c r="J1454" s="751">
        <v>92</v>
      </c>
      <c r="K1454" s="751">
        <v>4</v>
      </c>
      <c r="L1454" s="752" t="s">
        <v>422</v>
      </c>
      <c r="M1454" s="752" t="s">
        <v>468</v>
      </c>
      <c r="N1454" s="752" t="s">
        <v>469</v>
      </c>
      <c r="O1454" s="752" t="s">
        <v>469</v>
      </c>
      <c r="P1454" s="752" t="s">
        <v>1238</v>
      </c>
      <c r="Q1454" s="753">
        <v>0</v>
      </c>
      <c r="R1454" s="753">
        <v>0</v>
      </c>
      <c r="S1454" s="753">
        <v>17122</v>
      </c>
      <c r="T1454" s="753">
        <v>17122</v>
      </c>
      <c r="U1454" s="753">
        <v>1923</v>
      </c>
      <c r="V1454" s="751">
        <v>2019</v>
      </c>
      <c r="W1454" s="222"/>
      <c r="X1454" s="186"/>
      <c r="Y1454" s="178" t="str">
        <f t="shared" si="74"/>
        <v/>
      </c>
      <c r="Z1454" s="178" t="str">
        <f t="shared" si="75"/>
        <v/>
      </c>
      <c r="AA1454" s="44"/>
      <c r="AB1454" s="65"/>
      <c r="AC1454" s="40"/>
    </row>
    <row r="1455" spans="1:29" hidden="1">
      <c r="A1455" s="751">
        <v>59573</v>
      </c>
      <c r="B1455" s="752" t="s">
        <v>35</v>
      </c>
      <c r="C1455" s="751" t="s">
        <v>2960</v>
      </c>
      <c r="D1455" s="752" t="s">
        <v>1857</v>
      </c>
      <c r="E1455" s="752" t="s">
        <v>1811</v>
      </c>
      <c r="F1455" s="751">
        <v>58894</v>
      </c>
      <c r="G1455" s="752" t="s">
        <v>83</v>
      </c>
      <c r="H1455" s="752" t="s">
        <v>1245</v>
      </c>
      <c r="I1455" s="752" t="s">
        <v>60</v>
      </c>
      <c r="J1455" s="751">
        <v>22</v>
      </c>
      <c r="K1455" s="751">
        <v>2</v>
      </c>
      <c r="L1455" s="752" t="s">
        <v>54</v>
      </c>
      <c r="M1455" s="752" t="s">
        <v>468</v>
      </c>
      <c r="N1455" s="752" t="s">
        <v>469</v>
      </c>
      <c r="O1455" s="752" t="s">
        <v>469</v>
      </c>
      <c r="P1455" s="752" t="s">
        <v>1238</v>
      </c>
      <c r="Q1455" s="753">
        <v>0</v>
      </c>
      <c r="R1455" s="753">
        <v>0</v>
      </c>
      <c r="S1455" s="753">
        <v>12655</v>
      </c>
      <c r="T1455" s="753">
        <v>12655</v>
      </c>
      <c r="U1455" s="753">
        <v>1421</v>
      </c>
      <c r="V1455" s="751">
        <v>2019</v>
      </c>
      <c r="W1455" s="222"/>
      <c r="X1455" s="186"/>
      <c r="Y1455" s="178" t="str">
        <f t="shared" si="74"/>
        <v/>
      </c>
      <c r="Z1455" s="178" t="str">
        <f t="shared" si="75"/>
        <v/>
      </c>
      <c r="AA1455" s="44"/>
      <c r="AB1455" s="65"/>
      <c r="AC1455" s="40"/>
    </row>
    <row r="1456" spans="1:29" ht="25" hidden="1">
      <c r="A1456" s="751">
        <v>59613</v>
      </c>
      <c r="B1456" s="752" t="s">
        <v>35</v>
      </c>
      <c r="C1456" s="751" t="s">
        <v>2960</v>
      </c>
      <c r="D1456" s="752" t="s">
        <v>1858</v>
      </c>
      <c r="E1456" s="752" t="s">
        <v>1859</v>
      </c>
      <c r="F1456" s="751">
        <v>59356</v>
      </c>
      <c r="G1456" s="752" t="s">
        <v>59</v>
      </c>
      <c r="H1456" s="752" t="s">
        <v>1244</v>
      </c>
      <c r="I1456" s="752" t="s">
        <v>60</v>
      </c>
      <c r="J1456" s="751">
        <v>562212</v>
      </c>
      <c r="K1456" s="751">
        <v>4</v>
      </c>
      <c r="L1456" s="752" t="s">
        <v>422</v>
      </c>
      <c r="M1456" s="752" t="s">
        <v>468</v>
      </c>
      <c r="N1456" s="752" t="s">
        <v>469</v>
      </c>
      <c r="O1456" s="752" t="s">
        <v>469</v>
      </c>
      <c r="P1456" s="752" t="s">
        <v>1238</v>
      </c>
      <c r="Q1456" s="753">
        <v>0</v>
      </c>
      <c r="R1456" s="753">
        <v>0</v>
      </c>
      <c r="S1456" s="753">
        <v>15029</v>
      </c>
      <c r="T1456" s="753">
        <v>15029</v>
      </c>
      <c r="U1456" s="753">
        <v>1688</v>
      </c>
      <c r="V1456" s="751">
        <v>2019</v>
      </c>
      <c r="W1456" s="222"/>
      <c r="X1456" s="186"/>
      <c r="Y1456" s="178" t="str">
        <f t="shared" si="74"/>
        <v/>
      </c>
      <c r="Z1456" s="178" t="str">
        <f t="shared" si="75"/>
        <v/>
      </c>
      <c r="AA1456" s="44"/>
      <c r="AB1456" s="65"/>
      <c r="AC1456" s="40"/>
    </row>
    <row r="1457" spans="1:29" hidden="1">
      <c r="A1457" s="751">
        <v>59622</v>
      </c>
      <c r="B1457" s="752" t="s">
        <v>35</v>
      </c>
      <c r="C1457" s="751" t="s">
        <v>2960</v>
      </c>
      <c r="D1457" s="752" t="s">
        <v>2061</v>
      </c>
      <c r="E1457" s="752" t="s">
        <v>1285</v>
      </c>
      <c r="F1457" s="751">
        <v>57365</v>
      </c>
      <c r="G1457" s="752" t="s">
        <v>83</v>
      </c>
      <c r="H1457" s="752" t="s">
        <v>1245</v>
      </c>
      <c r="I1457" s="752" t="s">
        <v>60</v>
      </c>
      <c r="J1457" s="751">
        <v>22</v>
      </c>
      <c r="K1457" s="751">
        <v>2</v>
      </c>
      <c r="L1457" s="752" t="s">
        <v>54</v>
      </c>
      <c r="M1457" s="752" t="s">
        <v>73</v>
      </c>
      <c r="N1457" s="752" t="s">
        <v>74</v>
      </c>
      <c r="O1457" s="752" t="s">
        <v>74</v>
      </c>
      <c r="P1457" s="752" t="s">
        <v>1238</v>
      </c>
      <c r="Q1457" s="753">
        <v>0</v>
      </c>
      <c r="R1457" s="753">
        <v>0</v>
      </c>
      <c r="S1457" s="753">
        <v>166245</v>
      </c>
      <c r="T1457" s="753">
        <v>166245</v>
      </c>
      <c r="U1457" s="753">
        <v>18671</v>
      </c>
      <c r="V1457" s="751">
        <v>2019</v>
      </c>
      <c r="W1457" s="222"/>
      <c r="X1457" s="186"/>
      <c r="Y1457" s="178" t="str">
        <f t="shared" si="74"/>
        <v/>
      </c>
      <c r="Z1457" s="178" t="str">
        <f t="shared" si="75"/>
        <v/>
      </c>
      <c r="AA1457" s="44"/>
      <c r="AB1457" s="65"/>
      <c r="AC1457" s="40"/>
    </row>
    <row r="1458" spans="1:29" hidden="1">
      <c r="A1458" s="751">
        <v>59623</v>
      </c>
      <c r="B1458" s="752" t="s">
        <v>35</v>
      </c>
      <c r="C1458" s="751" t="s">
        <v>2960</v>
      </c>
      <c r="D1458" s="752" t="s">
        <v>1860</v>
      </c>
      <c r="E1458" s="752" t="s">
        <v>1861</v>
      </c>
      <c r="F1458" s="751">
        <v>59360</v>
      </c>
      <c r="G1458" s="752" t="s">
        <v>59</v>
      </c>
      <c r="H1458" s="752" t="s">
        <v>1244</v>
      </c>
      <c r="I1458" s="752" t="s">
        <v>60</v>
      </c>
      <c r="J1458" s="751">
        <v>22</v>
      </c>
      <c r="K1458" s="751">
        <v>2</v>
      </c>
      <c r="L1458" s="752" t="s">
        <v>54</v>
      </c>
      <c r="M1458" s="752" t="s">
        <v>468</v>
      </c>
      <c r="N1458" s="752" t="s">
        <v>469</v>
      </c>
      <c r="O1458" s="752" t="s">
        <v>469</v>
      </c>
      <c r="P1458" s="752" t="s">
        <v>1238</v>
      </c>
      <c r="Q1458" s="753">
        <v>0</v>
      </c>
      <c r="R1458" s="753">
        <v>0</v>
      </c>
      <c r="S1458" s="753">
        <v>22072</v>
      </c>
      <c r="T1458" s="753">
        <v>22072</v>
      </c>
      <c r="U1458" s="753">
        <v>2479</v>
      </c>
      <c r="V1458" s="751">
        <v>2019</v>
      </c>
      <c r="W1458" s="222"/>
      <c r="X1458" s="186"/>
      <c r="Y1458" s="178" t="str">
        <f t="shared" si="74"/>
        <v/>
      </c>
      <c r="Z1458" s="178" t="str">
        <f t="shared" si="75"/>
        <v/>
      </c>
      <c r="AA1458" s="44"/>
      <c r="AB1458" s="65"/>
      <c r="AC1458" s="40"/>
    </row>
    <row r="1459" spans="1:29" hidden="1">
      <c r="A1459" s="751">
        <v>59624</v>
      </c>
      <c r="B1459" s="752" t="s">
        <v>35</v>
      </c>
      <c r="C1459" s="751" t="s">
        <v>2960</v>
      </c>
      <c r="D1459" s="752" t="s">
        <v>1959</v>
      </c>
      <c r="E1459" s="752" t="s">
        <v>1735</v>
      </c>
      <c r="F1459" s="751">
        <v>58871</v>
      </c>
      <c r="G1459" s="752" t="s">
        <v>83</v>
      </c>
      <c r="H1459" s="752" t="s">
        <v>1245</v>
      </c>
      <c r="I1459" s="752" t="s">
        <v>60</v>
      </c>
      <c r="J1459" s="751">
        <v>22</v>
      </c>
      <c r="K1459" s="751">
        <v>2</v>
      </c>
      <c r="L1459" s="752" t="s">
        <v>54</v>
      </c>
      <c r="M1459" s="752" t="s">
        <v>468</v>
      </c>
      <c r="N1459" s="752" t="s">
        <v>469</v>
      </c>
      <c r="O1459" s="752" t="s">
        <v>469</v>
      </c>
      <c r="P1459" s="752" t="s">
        <v>1238</v>
      </c>
      <c r="Q1459" s="753">
        <v>0</v>
      </c>
      <c r="R1459" s="753">
        <v>0</v>
      </c>
      <c r="S1459" s="753">
        <v>22439</v>
      </c>
      <c r="T1459" s="753">
        <v>22439</v>
      </c>
      <c r="U1459" s="753">
        <v>2520</v>
      </c>
      <c r="V1459" s="751">
        <v>2019</v>
      </c>
      <c r="W1459" s="222"/>
      <c r="X1459" s="186"/>
      <c r="Y1459" s="178" t="str">
        <f t="shared" si="74"/>
        <v/>
      </c>
      <c r="Z1459" s="178" t="str">
        <f t="shared" si="75"/>
        <v/>
      </c>
      <c r="AA1459" s="44"/>
      <c r="AB1459" s="65"/>
      <c r="AC1459" s="40"/>
    </row>
    <row r="1460" spans="1:29" hidden="1">
      <c r="A1460" s="751">
        <v>59625</v>
      </c>
      <c r="B1460" s="752" t="s">
        <v>35</v>
      </c>
      <c r="C1460" s="751" t="s">
        <v>2960</v>
      </c>
      <c r="D1460" s="752" t="s">
        <v>1960</v>
      </c>
      <c r="E1460" s="752" t="s">
        <v>1735</v>
      </c>
      <c r="F1460" s="751">
        <v>58871</v>
      </c>
      <c r="G1460" s="752" t="s">
        <v>83</v>
      </c>
      <c r="H1460" s="752" t="s">
        <v>1245</v>
      </c>
      <c r="I1460" s="752" t="s">
        <v>60</v>
      </c>
      <c r="J1460" s="751">
        <v>22</v>
      </c>
      <c r="K1460" s="751">
        <v>2</v>
      </c>
      <c r="L1460" s="752" t="s">
        <v>54</v>
      </c>
      <c r="M1460" s="752" t="s">
        <v>468</v>
      </c>
      <c r="N1460" s="752" t="s">
        <v>469</v>
      </c>
      <c r="O1460" s="752" t="s">
        <v>469</v>
      </c>
      <c r="P1460" s="752" t="s">
        <v>1238</v>
      </c>
      <c r="Q1460" s="753">
        <v>0</v>
      </c>
      <c r="R1460" s="753">
        <v>0</v>
      </c>
      <c r="S1460" s="753">
        <v>28093</v>
      </c>
      <c r="T1460" s="753">
        <v>28093</v>
      </c>
      <c r="U1460" s="753">
        <v>3155</v>
      </c>
      <c r="V1460" s="751">
        <v>2019</v>
      </c>
      <c r="W1460" s="222"/>
      <c r="X1460" s="186"/>
      <c r="Y1460" s="178" t="str">
        <f t="shared" si="74"/>
        <v/>
      </c>
      <c r="Z1460" s="178" t="str">
        <f t="shared" si="75"/>
        <v/>
      </c>
      <c r="AA1460" s="44"/>
      <c r="AB1460" s="65"/>
      <c r="AC1460" s="40"/>
    </row>
    <row r="1461" spans="1:29" hidden="1">
      <c r="A1461" s="751">
        <v>59626</v>
      </c>
      <c r="B1461" s="752" t="s">
        <v>35</v>
      </c>
      <c r="C1461" s="751" t="s">
        <v>2960</v>
      </c>
      <c r="D1461" s="752" t="s">
        <v>1961</v>
      </c>
      <c r="E1461" s="752" t="s">
        <v>1735</v>
      </c>
      <c r="F1461" s="751">
        <v>58871</v>
      </c>
      <c r="G1461" s="752" t="s">
        <v>83</v>
      </c>
      <c r="H1461" s="752" t="s">
        <v>1245</v>
      </c>
      <c r="I1461" s="752" t="s">
        <v>60</v>
      </c>
      <c r="J1461" s="751">
        <v>22</v>
      </c>
      <c r="K1461" s="751">
        <v>2</v>
      </c>
      <c r="L1461" s="752" t="s">
        <v>54</v>
      </c>
      <c r="M1461" s="752" t="s">
        <v>468</v>
      </c>
      <c r="N1461" s="752" t="s">
        <v>469</v>
      </c>
      <c r="O1461" s="752" t="s">
        <v>469</v>
      </c>
      <c r="P1461" s="752" t="s">
        <v>1238</v>
      </c>
      <c r="Q1461" s="753">
        <v>0</v>
      </c>
      <c r="R1461" s="753">
        <v>0</v>
      </c>
      <c r="S1461" s="753">
        <v>22278</v>
      </c>
      <c r="T1461" s="753">
        <v>22278</v>
      </c>
      <c r="U1461" s="753">
        <v>2502</v>
      </c>
      <c r="V1461" s="751">
        <v>2019</v>
      </c>
      <c r="W1461" s="222"/>
      <c r="X1461" s="186"/>
      <c r="Y1461" s="178" t="str">
        <f t="shared" si="74"/>
        <v/>
      </c>
      <c r="Z1461" s="178" t="str">
        <f t="shared" si="75"/>
        <v/>
      </c>
      <c r="AA1461" s="44"/>
      <c r="AB1461" s="65"/>
      <c r="AC1461" s="40"/>
    </row>
    <row r="1462" spans="1:29" hidden="1">
      <c r="A1462" s="751">
        <v>59629</v>
      </c>
      <c r="B1462" s="752" t="s">
        <v>35</v>
      </c>
      <c r="C1462" s="751" t="s">
        <v>2960</v>
      </c>
      <c r="D1462" s="752" t="s">
        <v>2062</v>
      </c>
      <c r="E1462" s="752" t="s">
        <v>2062</v>
      </c>
      <c r="F1462" s="751">
        <v>59362</v>
      </c>
      <c r="G1462" s="752" t="s">
        <v>59</v>
      </c>
      <c r="H1462" s="752" t="s">
        <v>1244</v>
      </c>
      <c r="I1462" s="752" t="s">
        <v>60</v>
      </c>
      <c r="J1462" s="751">
        <v>22</v>
      </c>
      <c r="K1462" s="751">
        <v>2</v>
      </c>
      <c r="L1462" s="752" t="s">
        <v>54</v>
      </c>
      <c r="M1462" s="752" t="s">
        <v>73</v>
      </c>
      <c r="N1462" s="752" t="s">
        <v>74</v>
      </c>
      <c r="O1462" s="752" t="s">
        <v>74</v>
      </c>
      <c r="P1462" s="752" t="s">
        <v>1238</v>
      </c>
      <c r="Q1462" s="753">
        <v>0</v>
      </c>
      <c r="R1462" s="753">
        <v>0</v>
      </c>
      <c r="S1462" s="753">
        <v>2025376</v>
      </c>
      <c r="T1462" s="753">
        <v>2025376</v>
      </c>
      <c r="U1462" s="753">
        <v>227468</v>
      </c>
      <c r="V1462" s="751">
        <v>2019</v>
      </c>
      <c r="W1462" s="222"/>
      <c r="X1462" s="186"/>
      <c r="Y1462" s="86" t="str">
        <f t="shared" si="74"/>
        <v/>
      </c>
      <c r="Z1462" s="86" t="str">
        <f t="shared" si="75"/>
        <v/>
      </c>
      <c r="AA1462" s="44"/>
      <c r="AB1462" s="65"/>
      <c r="AC1462" s="40"/>
    </row>
    <row r="1463" spans="1:29" hidden="1">
      <c r="A1463" s="751">
        <v>59636</v>
      </c>
      <c r="B1463" s="752" t="s">
        <v>35</v>
      </c>
      <c r="C1463" s="751" t="s">
        <v>2960</v>
      </c>
      <c r="D1463" s="752" t="s">
        <v>2979</v>
      </c>
      <c r="E1463" s="752" t="s">
        <v>1962</v>
      </c>
      <c r="F1463" s="751">
        <v>59388</v>
      </c>
      <c r="G1463" s="752" t="s">
        <v>83</v>
      </c>
      <c r="H1463" s="752" t="s">
        <v>1245</v>
      </c>
      <c r="I1463" s="752" t="s">
        <v>60</v>
      </c>
      <c r="J1463" s="751">
        <v>22</v>
      </c>
      <c r="K1463" s="751">
        <v>2</v>
      </c>
      <c r="L1463" s="752" t="s">
        <v>54</v>
      </c>
      <c r="M1463" s="752" t="s">
        <v>468</v>
      </c>
      <c r="N1463" s="752" t="s">
        <v>469</v>
      </c>
      <c r="O1463" s="752" t="s">
        <v>469</v>
      </c>
      <c r="P1463" s="752" t="s">
        <v>1238</v>
      </c>
      <c r="Q1463" s="753">
        <v>0</v>
      </c>
      <c r="R1463" s="753">
        <v>0</v>
      </c>
      <c r="S1463" s="753">
        <v>49106</v>
      </c>
      <c r="T1463" s="753">
        <v>49106</v>
      </c>
      <c r="U1463" s="753">
        <v>5515</v>
      </c>
      <c r="V1463" s="751">
        <v>2019</v>
      </c>
      <c r="W1463" s="222"/>
      <c r="X1463" s="186"/>
      <c r="Y1463" s="178" t="str">
        <f t="shared" si="74"/>
        <v/>
      </c>
      <c r="Z1463" s="178" t="str">
        <f t="shared" si="75"/>
        <v/>
      </c>
      <c r="AA1463" s="44"/>
      <c r="AB1463" s="65"/>
      <c r="AC1463" s="40"/>
    </row>
    <row r="1464" spans="1:29" ht="25" hidden="1">
      <c r="A1464" s="751">
        <v>59639</v>
      </c>
      <c r="B1464" s="752" t="s">
        <v>35</v>
      </c>
      <c r="C1464" s="751" t="s">
        <v>2960</v>
      </c>
      <c r="D1464" s="752" t="s">
        <v>1862</v>
      </c>
      <c r="E1464" s="752" t="s">
        <v>1863</v>
      </c>
      <c r="F1464" s="751">
        <v>59395</v>
      </c>
      <c r="G1464" s="752" t="s">
        <v>83</v>
      </c>
      <c r="H1464" s="752" t="s">
        <v>1245</v>
      </c>
      <c r="I1464" s="752" t="s">
        <v>60</v>
      </c>
      <c r="J1464" s="751">
        <v>335</v>
      </c>
      <c r="K1464" s="751">
        <v>6</v>
      </c>
      <c r="L1464" s="752" t="s">
        <v>420</v>
      </c>
      <c r="M1464" s="752" t="s">
        <v>73</v>
      </c>
      <c r="N1464" s="752" t="s">
        <v>74</v>
      </c>
      <c r="O1464" s="752" t="s">
        <v>74</v>
      </c>
      <c r="P1464" s="752" t="s">
        <v>1238</v>
      </c>
      <c r="Q1464" s="753">
        <v>0</v>
      </c>
      <c r="R1464" s="753">
        <v>0</v>
      </c>
      <c r="S1464" s="753">
        <v>17291</v>
      </c>
      <c r="T1464" s="753">
        <v>17291</v>
      </c>
      <c r="U1464" s="753">
        <v>1942</v>
      </c>
      <c r="V1464" s="751">
        <v>2019</v>
      </c>
      <c r="W1464" s="222"/>
      <c r="X1464" s="186"/>
      <c r="Y1464" s="178" t="str">
        <f t="shared" si="74"/>
        <v/>
      </c>
      <c r="Z1464" s="178" t="str">
        <f t="shared" si="75"/>
        <v/>
      </c>
      <c r="AA1464" s="44"/>
      <c r="AB1464" s="65"/>
      <c r="AC1464" s="40"/>
    </row>
    <row r="1465" spans="1:29" hidden="1">
      <c r="A1465" s="751">
        <v>59682</v>
      </c>
      <c r="B1465" s="752" t="s">
        <v>35</v>
      </c>
      <c r="C1465" s="751" t="s">
        <v>2960</v>
      </c>
      <c r="D1465" s="752" t="s">
        <v>1864</v>
      </c>
      <c r="E1465" s="752" t="s">
        <v>1865</v>
      </c>
      <c r="F1465" s="751">
        <v>59453</v>
      </c>
      <c r="G1465" s="752" t="s">
        <v>91</v>
      </c>
      <c r="H1465" s="752" t="s">
        <v>1245</v>
      </c>
      <c r="I1465" s="752" t="s">
        <v>60</v>
      </c>
      <c r="J1465" s="751">
        <v>22</v>
      </c>
      <c r="K1465" s="751">
        <v>2</v>
      </c>
      <c r="L1465" s="752" t="s">
        <v>54</v>
      </c>
      <c r="M1465" s="752" t="s">
        <v>468</v>
      </c>
      <c r="N1465" s="752" t="s">
        <v>469</v>
      </c>
      <c r="O1465" s="752" t="s">
        <v>469</v>
      </c>
      <c r="P1465" s="752" t="s">
        <v>1238</v>
      </c>
      <c r="Q1465" s="753">
        <v>0</v>
      </c>
      <c r="R1465" s="753">
        <v>0</v>
      </c>
      <c r="S1465" s="753">
        <v>20221</v>
      </c>
      <c r="T1465" s="753">
        <v>20221</v>
      </c>
      <c r="U1465" s="753">
        <v>2271</v>
      </c>
      <c r="V1465" s="751">
        <v>2019</v>
      </c>
      <c r="W1465" s="222"/>
      <c r="X1465" s="186"/>
      <c r="Y1465" s="178" t="str">
        <f t="shared" si="74"/>
        <v/>
      </c>
      <c r="Z1465" s="178" t="str">
        <f t="shared" si="75"/>
        <v/>
      </c>
      <c r="AA1465" s="44"/>
      <c r="AB1465" s="65"/>
      <c r="AC1465" s="40"/>
    </row>
    <row r="1466" spans="1:29" ht="25" hidden="1">
      <c r="A1466" s="751">
        <v>59692</v>
      </c>
      <c r="B1466" s="752" t="s">
        <v>35</v>
      </c>
      <c r="C1466" s="751" t="s">
        <v>2960</v>
      </c>
      <c r="D1466" s="752" t="s">
        <v>1866</v>
      </c>
      <c r="E1466" s="752" t="s">
        <v>1867</v>
      </c>
      <c r="F1466" s="751">
        <v>59463</v>
      </c>
      <c r="G1466" s="752" t="s">
        <v>136</v>
      </c>
      <c r="H1466" s="752" t="s">
        <v>1245</v>
      </c>
      <c r="I1466" s="752" t="s">
        <v>60</v>
      </c>
      <c r="J1466" s="751">
        <v>22132</v>
      </c>
      <c r="K1466" s="751">
        <v>4</v>
      </c>
      <c r="L1466" s="752" t="s">
        <v>422</v>
      </c>
      <c r="M1466" s="752" t="s">
        <v>73</v>
      </c>
      <c r="N1466" s="752" t="s">
        <v>74</v>
      </c>
      <c r="O1466" s="752" t="s">
        <v>74</v>
      </c>
      <c r="P1466" s="752" t="s">
        <v>1238</v>
      </c>
      <c r="Q1466" s="753">
        <v>0</v>
      </c>
      <c r="R1466" s="753">
        <v>0</v>
      </c>
      <c r="S1466" s="753">
        <v>68356</v>
      </c>
      <c r="T1466" s="753">
        <v>68356</v>
      </c>
      <c r="U1466" s="753">
        <v>7677</v>
      </c>
      <c r="V1466" s="751">
        <v>2019</v>
      </c>
      <c r="W1466" s="222"/>
      <c r="X1466" s="186"/>
      <c r="Y1466" s="178" t="str">
        <f t="shared" si="74"/>
        <v/>
      </c>
      <c r="Z1466" s="178" t="str">
        <f t="shared" si="75"/>
        <v/>
      </c>
      <c r="AA1466" s="44"/>
      <c r="AB1466" s="65"/>
      <c r="AC1466" s="40"/>
    </row>
    <row r="1467" spans="1:29" hidden="1">
      <c r="A1467" s="751">
        <v>59705</v>
      </c>
      <c r="B1467" s="752" t="s">
        <v>35</v>
      </c>
      <c r="C1467" s="751" t="s">
        <v>2960</v>
      </c>
      <c r="D1467" s="752" t="s">
        <v>2063</v>
      </c>
      <c r="E1467" s="752" t="s">
        <v>2064</v>
      </c>
      <c r="F1467" s="751">
        <v>59474</v>
      </c>
      <c r="G1467" s="752" t="s">
        <v>59</v>
      </c>
      <c r="H1467" s="752" t="s">
        <v>1244</v>
      </c>
      <c r="I1467" s="752" t="s">
        <v>60</v>
      </c>
      <c r="J1467" s="751">
        <v>22</v>
      </c>
      <c r="K1467" s="751">
        <v>2</v>
      </c>
      <c r="L1467" s="752" t="s">
        <v>54</v>
      </c>
      <c r="M1467" s="752" t="s">
        <v>468</v>
      </c>
      <c r="N1467" s="752" t="s">
        <v>469</v>
      </c>
      <c r="O1467" s="752" t="s">
        <v>469</v>
      </c>
      <c r="P1467" s="752" t="s">
        <v>1238</v>
      </c>
      <c r="Q1467" s="753">
        <v>0</v>
      </c>
      <c r="R1467" s="753">
        <v>0</v>
      </c>
      <c r="S1467" s="753">
        <v>40245</v>
      </c>
      <c r="T1467" s="753">
        <v>40245</v>
      </c>
      <c r="U1467" s="753">
        <v>4520</v>
      </c>
      <c r="V1467" s="751">
        <v>2019</v>
      </c>
      <c r="W1467" s="222"/>
      <c r="X1467" s="186"/>
      <c r="Y1467" s="178" t="str">
        <f t="shared" si="74"/>
        <v/>
      </c>
      <c r="Z1467" s="178" t="str">
        <f t="shared" si="75"/>
        <v/>
      </c>
      <c r="AA1467" s="44"/>
      <c r="AB1467" s="65"/>
      <c r="AC1467" s="40"/>
    </row>
    <row r="1468" spans="1:29" ht="25" hidden="1">
      <c r="A1468" s="751">
        <v>59717</v>
      </c>
      <c r="B1468" s="752" t="s">
        <v>35</v>
      </c>
      <c r="C1468" s="751" t="s">
        <v>2960</v>
      </c>
      <c r="D1468" s="752" t="s">
        <v>1963</v>
      </c>
      <c r="E1468" s="752" t="s">
        <v>1964</v>
      </c>
      <c r="F1468" s="751">
        <v>59484</v>
      </c>
      <c r="G1468" s="752" t="s">
        <v>83</v>
      </c>
      <c r="H1468" s="752" t="s">
        <v>1245</v>
      </c>
      <c r="I1468" s="752" t="s">
        <v>60</v>
      </c>
      <c r="J1468" s="751">
        <v>611</v>
      </c>
      <c r="K1468" s="751">
        <v>4</v>
      </c>
      <c r="L1468" s="752" t="s">
        <v>422</v>
      </c>
      <c r="M1468" s="752" t="s">
        <v>53</v>
      </c>
      <c r="N1468" s="752" t="s">
        <v>48</v>
      </c>
      <c r="O1468" s="752" t="s">
        <v>48</v>
      </c>
      <c r="P1468" s="752" t="s">
        <v>49</v>
      </c>
      <c r="Q1468" s="753">
        <v>34</v>
      </c>
      <c r="R1468" s="753">
        <v>34</v>
      </c>
      <c r="S1468" s="753">
        <v>202</v>
      </c>
      <c r="T1468" s="753">
        <v>202</v>
      </c>
      <c r="U1468" s="753">
        <v>7</v>
      </c>
      <c r="V1468" s="751">
        <v>2019</v>
      </c>
      <c r="W1468" s="222"/>
      <c r="X1468" s="186"/>
      <c r="Y1468" s="178" t="str">
        <f t="shared" si="74"/>
        <v/>
      </c>
      <c r="Z1468" s="178" t="str">
        <f t="shared" si="75"/>
        <v/>
      </c>
      <c r="AA1468" s="44"/>
      <c r="AB1468" s="65"/>
      <c r="AC1468" s="40"/>
    </row>
    <row r="1469" spans="1:29" ht="25" hidden="1">
      <c r="A1469" s="751">
        <v>59717</v>
      </c>
      <c r="B1469" s="752" t="s">
        <v>35</v>
      </c>
      <c r="C1469" s="751" t="s">
        <v>2960</v>
      </c>
      <c r="D1469" s="752" t="s">
        <v>1963</v>
      </c>
      <c r="E1469" s="752" t="s">
        <v>1964</v>
      </c>
      <c r="F1469" s="751">
        <v>59484</v>
      </c>
      <c r="G1469" s="752" t="s">
        <v>83</v>
      </c>
      <c r="H1469" s="752" t="s">
        <v>1245</v>
      </c>
      <c r="I1469" s="752" t="s">
        <v>60</v>
      </c>
      <c r="J1469" s="751">
        <v>611</v>
      </c>
      <c r="K1469" s="751">
        <v>4</v>
      </c>
      <c r="L1469" s="752" t="s">
        <v>422</v>
      </c>
      <c r="M1469" s="752" t="s">
        <v>53</v>
      </c>
      <c r="N1469" s="752" t="s">
        <v>41</v>
      </c>
      <c r="O1469" s="752" t="s">
        <v>41</v>
      </c>
      <c r="P1469" s="752" t="s">
        <v>1091</v>
      </c>
      <c r="Q1469" s="753">
        <v>0</v>
      </c>
      <c r="R1469" s="753">
        <v>0</v>
      </c>
      <c r="S1469" s="753">
        <v>0</v>
      </c>
      <c r="T1469" s="753">
        <v>0</v>
      </c>
      <c r="U1469" s="753">
        <v>0</v>
      </c>
      <c r="V1469" s="751">
        <v>2019</v>
      </c>
      <c r="W1469" s="222"/>
      <c r="X1469" s="186"/>
      <c r="Y1469" s="178" t="str">
        <f t="shared" si="74"/>
        <v/>
      </c>
      <c r="Z1469" s="178" t="str">
        <f t="shared" si="75"/>
        <v/>
      </c>
      <c r="AA1469" s="44"/>
      <c r="AB1469" s="65"/>
      <c r="AC1469" s="40"/>
    </row>
    <row r="1470" spans="1:29" ht="25" hidden="1">
      <c r="A1470" s="751">
        <v>59717</v>
      </c>
      <c r="B1470" s="752" t="s">
        <v>35</v>
      </c>
      <c r="C1470" s="751" t="s">
        <v>2960</v>
      </c>
      <c r="D1470" s="752" t="s">
        <v>1963</v>
      </c>
      <c r="E1470" s="752" t="s">
        <v>1964</v>
      </c>
      <c r="F1470" s="751">
        <v>59484</v>
      </c>
      <c r="G1470" s="752" t="s">
        <v>83</v>
      </c>
      <c r="H1470" s="752" t="s">
        <v>1245</v>
      </c>
      <c r="I1470" s="752" t="s">
        <v>60</v>
      </c>
      <c r="J1470" s="751">
        <v>611</v>
      </c>
      <c r="K1470" s="751">
        <v>4</v>
      </c>
      <c r="L1470" s="752" t="s">
        <v>422</v>
      </c>
      <c r="M1470" s="752" t="s">
        <v>468</v>
      </c>
      <c r="N1470" s="752" t="s">
        <v>469</v>
      </c>
      <c r="O1470" s="752" t="s">
        <v>469</v>
      </c>
      <c r="P1470" s="752" t="s">
        <v>1238</v>
      </c>
      <c r="Q1470" s="753">
        <v>0</v>
      </c>
      <c r="R1470" s="753">
        <v>0</v>
      </c>
      <c r="S1470" s="753">
        <v>812</v>
      </c>
      <c r="T1470" s="753">
        <v>812</v>
      </c>
      <c r="U1470" s="753">
        <v>91</v>
      </c>
      <c r="V1470" s="751">
        <v>2019</v>
      </c>
      <c r="W1470" s="222"/>
      <c r="X1470" s="186"/>
      <c r="Y1470" s="178" t="str">
        <f t="shared" si="74"/>
        <v/>
      </c>
      <c r="Z1470" s="178" t="str">
        <f t="shared" si="75"/>
        <v/>
      </c>
      <c r="AA1470" s="44"/>
      <c r="AB1470" s="65"/>
      <c r="AC1470" s="40"/>
    </row>
    <row r="1471" spans="1:29" hidden="1">
      <c r="A1471" s="751">
        <v>59719</v>
      </c>
      <c r="B1471" s="752" t="s">
        <v>35</v>
      </c>
      <c r="C1471" s="751" t="s">
        <v>2960</v>
      </c>
      <c r="D1471" s="752" t="s">
        <v>1868</v>
      </c>
      <c r="E1471" s="752" t="s">
        <v>1869</v>
      </c>
      <c r="F1471" s="751">
        <v>59488</v>
      </c>
      <c r="G1471" s="752" t="s">
        <v>91</v>
      </c>
      <c r="H1471" s="752" t="s">
        <v>1245</v>
      </c>
      <c r="I1471" s="752" t="s">
        <v>60</v>
      </c>
      <c r="J1471" s="751">
        <v>22</v>
      </c>
      <c r="K1471" s="751">
        <v>2</v>
      </c>
      <c r="L1471" s="752" t="s">
        <v>54</v>
      </c>
      <c r="M1471" s="752" t="s">
        <v>468</v>
      </c>
      <c r="N1471" s="752" t="s">
        <v>469</v>
      </c>
      <c r="O1471" s="752" t="s">
        <v>469</v>
      </c>
      <c r="P1471" s="752" t="s">
        <v>1238</v>
      </c>
      <c r="Q1471" s="753">
        <v>0</v>
      </c>
      <c r="R1471" s="753">
        <v>0</v>
      </c>
      <c r="S1471" s="753">
        <v>26970</v>
      </c>
      <c r="T1471" s="753">
        <v>26970</v>
      </c>
      <c r="U1471" s="753">
        <v>3029</v>
      </c>
      <c r="V1471" s="751">
        <v>2019</v>
      </c>
      <c r="W1471" s="222"/>
      <c r="X1471" s="186"/>
      <c r="Y1471" s="178" t="str">
        <f t="shared" si="74"/>
        <v/>
      </c>
      <c r="Z1471" s="178" t="str">
        <f t="shared" si="75"/>
        <v/>
      </c>
      <c r="AA1471" s="44"/>
      <c r="AB1471" s="65"/>
      <c r="AC1471" s="40"/>
    </row>
    <row r="1472" spans="1:29" hidden="1">
      <c r="A1472" s="751">
        <v>59724</v>
      </c>
      <c r="B1472" s="752" t="s">
        <v>35</v>
      </c>
      <c r="C1472" s="751" t="s">
        <v>2960</v>
      </c>
      <c r="D1472" s="752" t="s">
        <v>1965</v>
      </c>
      <c r="E1472" s="752" t="s">
        <v>1966</v>
      </c>
      <c r="F1472" s="751">
        <v>59493</v>
      </c>
      <c r="G1472" s="752" t="s">
        <v>83</v>
      </c>
      <c r="H1472" s="752" t="s">
        <v>1245</v>
      </c>
      <c r="I1472" s="752" t="s">
        <v>60</v>
      </c>
      <c r="J1472" s="751">
        <v>22</v>
      </c>
      <c r="K1472" s="751">
        <v>2</v>
      </c>
      <c r="L1472" s="752" t="s">
        <v>54</v>
      </c>
      <c r="M1472" s="752" t="s">
        <v>73</v>
      </c>
      <c r="N1472" s="752" t="s">
        <v>74</v>
      </c>
      <c r="O1472" s="752" t="s">
        <v>74</v>
      </c>
      <c r="P1472" s="752" t="s">
        <v>1238</v>
      </c>
      <c r="Q1472" s="753">
        <v>0</v>
      </c>
      <c r="R1472" s="753">
        <v>0</v>
      </c>
      <c r="S1472" s="753">
        <v>28581</v>
      </c>
      <c r="T1472" s="753">
        <v>28581</v>
      </c>
      <c r="U1472" s="753">
        <v>3210</v>
      </c>
      <c r="V1472" s="751">
        <v>2019</v>
      </c>
      <c r="W1472" s="222"/>
      <c r="X1472" s="186"/>
      <c r="Y1472" s="178" t="str">
        <f t="shared" si="74"/>
        <v/>
      </c>
      <c r="Z1472" s="178" t="str">
        <f t="shared" si="75"/>
        <v/>
      </c>
      <c r="AA1472" s="44"/>
      <c r="AB1472" s="65"/>
      <c r="AC1472" s="40"/>
    </row>
    <row r="1473" spans="1:29" hidden="1">
      <c r="A1473" s="751">
        <v>59725</v>
      </c>
      <c r="B1473" s="752" t="s">
        <v>35</v>
      </c>
      <c r="C1473" s="751" t="s">
        <v>2960</v>
      </c>
      <c r="D1473" s="752" t="s">
        <v>1967</v>
      </c>
      <c r="E1473" s="752" t="s">
        <v>1968</v>
      </c>
      <c r="F1473" s="751">
        <v>59494</v>
      </c>
      <c r="G1473" s="752" t="s">
        <v>83</v>
      </c>
      <c r="H1473" s="752" t="s">
        <v>1245</v>
      </c>
      <c r="I1473" s="752" t="s">
        <v>60</v>
      </c>
      <c r="J1473" s="751">
        <v>22</v>
      </c>
      <c r="K1473" s="751">
        <v>2</v>
      </c>
      <c r="L1473" s="752" t="s">
        <v>54</v>
      </c>
      <c r="M1473" s="752" t="s">
        <v>73</v>
      </c>
      <c r="N1473" s="752" t="s">
        <v>74</v>
      </c>
      <c r="O1473" s="752" t="s">
        <v>74</v>
      </c>
      <c r="P1473" s="752" t="s">
        <v>1238</v>
      </c>
      <c r="Q1473" s="753">
        <v>0</v>
      </c>
      <c r="R1473" s="753">
        <v>0</v>
      </c>
      <c r="S1473" s="753">
        <v>56469</v>
      </c>
      <c r="T1473" s="753">
        <v>56469</v>
      </c>
      <c r="U1473" s="753">
        <v>6342</v>
      </c>
      <c r="V1473" s="751">
        <v>2019</v>
      </c>
      <c r="W1473" s="222"/>
      <c r="X1473" s="186"/>
      <c r="Y1473" s="178" t="str">
        <f t="shared" si="74"/>
        <v/>
      </c>
      <c r="Z1473" s="178" t="str">
        <f t="shared" si="75"/>
        <v/>
      </c>
      <c r="AA1473" s="44"/>
      <c r="AB1473" s="65"/>
      <c r="AC1473" s="40"/>
    </row>
    <row r="1474" spans="1:29" hidden="1">
      <c r="A1474" s="751">
        <v>59731</v>
      </c>
      <c r="B1474" s="752" t="s">
        <v>35</v>
      </c>
      <c r="C1474" s="751" t="s">
        <v>2960</v>
      </c>
      <c r="D1474" s="752" t="s">
        <v>1870</v>
      </c>
      <c r="E1474" s="752" t="s">
        <v>1871</v>
      </c>
      <c r="F1474" s="751">
        <v>59500</v>
      </c>
      <c r="G1474" s="752" t="s">
        <v>83</v>
      </c>
      <c r="H1474" s="752" t="s">
        <v>1245</v>
      </c>
      <c r="I1474" s="752" t="s">
        <v>60</v>
      </c>
      <c r="J1474" s="751">
        <v>22</v>
      </c>
      <c r="K1474" s="751">
        <v>2</v>
      </c>
      <c r="L1474" s="752" t="s">
        <v>54</v>
      </c>
      <c r="M1474" s="752" t="s">
        <v>468</v>
      </c>
      <c r="N1474" s="752" t="s">
        <v>469</v>
      </c>
      <c r="O1474" s="752" t="s">
        <v>469</v>
      </c>
      <c r="P1474" s="752" t="s">
        <v>1238</v>
      </c>
      <c r="Q1474" s="753">
        <v>0</v>
      </c>
      <c r="R1474" s="753">
        <v>0</v>
      </c>
      <c r="S1474" s="753">
        <v>36168</v>
      </c>
      <c r="T1474" s="753">
        <v>36168</v>
      </c>
      <c r="U1474" s="753">
        <v>4062</v>
      </c>
      <c r="V1474" s="751">
        <v>2019</v>
      </c>
      <c r="W1474" s="222"/>
      <c r="X1474" s="186"/>
      <c r="Y1474" s="86" t="str">
        <f t="shared" si="74"/>
        <v/>
      </c>
      <c r="Z1474" s="86" t="str">
        <f t="shared" si="75"/>
        <v/>
      </c>
      <c r="AA1474" s="44"/>
      <c r="AB1474" s="65"/>
      <c r="AC1474" s="40"/>
    </row>
    <row r="1475" spans="1:29" hidden="1">
      <c r="A1475" s="751">
        <v>59741</v>
      </c>
      <c r="B1475" s="752" t="s">
        <v>35</v>
      </c>
      <c r="C1475" s="751" t="s">
        <v>2960</v>
      </c>
      <c r="D1475" s="752" t="s">
        <v>1872</v>
      </c>
      <c r="E1475" s="752" t="s">
        <v>1873</v>
      </c>
      <c r="F1475" s="751">
        <v>59508</v>
      </c>
      <c r="G1475" s="752" t="s">
        <v>91</v>
      </c>
      <c r="H1475" s="752" t="s">
        <v>1245</v>
      </c>
      <c r="I1475" s="752" t="s">
        <v>60</v>
      </c>
      <c r="J1475" s="751">
        <v>22</v>
      </c>
      <c r="K1475" s="751">
        <v>2</v>
      </c>
      <c r="L1475" s="752" t="s">
        <v>54</v>
      </c>
      <c r="M1475" s="752" t="s">
        <v>468</v>
      </c>
      <c r="N1475" s="752" t="s">
        <v>469</v>
      </c>
      <c r="O1475" s="752" t="s">
        <v>469</v>
      </c>
      <c r="P1475" s="752" t="s">
        <v>1238</v>
      </c>
      <c r="Q1475" s="753">
        <v>0</v>
      </c>
      <c r="R1475" s="753">
        <v>0</v>
      </c>
      <c r="S1475" s="753">
        <v>22669</v>
      </c>
      <c r="T1475" s="753">
        <v>22669</v>
      </c>
      <c r="U1475" s="753">
        <v>2546</v>
      </c>
      <c r="V1475" s="751">
        <v>2019</v>
      </c>
      <c r="W1475" s="222"/>
      <c r="X1475" s="186"/>
      <c r="Y1475" s="178" t="str">
        <f t="shared" si="74"/>
        <v/>
      </c>
      <c r="Z1475" s="178" t="str">
        <f t="shared" si="75"/>
        <v/>
      </c>
      <c r="AA1475" s="44"/>
      <c r="AB1475" s="65"/>
      <c r="AC1475" s="40"/>
    </row>
    <row r="1476" spans="1:29" ht="25" hidden="1">
      <c r="A1476" s="751">
        <v>59745</v>
      </c>
      <c r="B1476" s="752" t="s">
        <v>35</v>
      </c>
      <c r="C1476" s="751" t="s">
        <v>2960</v>
      </c>
      <c r="D1476" s="752" t="s">
        <v>1969</v>
      </c>
      <c r="E1476" s="752" t="s">
        <v>1970</v>
      </c>
      <c r="F1476" s="751">
        <v>59511</v>
      </c>
      <c r="G1476" s="752" t="s">
        <v>83</v>
      </c>
      <c r="H1476" s="752" t="s">
        <v>1245</v>
      </c>
      <c r="I1476" s="752" t="s">
        <v>60</v>
      </c>
      <c r="J1476" s="751">
        <v>22</v>
      </c>
      <c r="K1476" s="751">
        <v>2</v>
      </c>
      <c r="L1476" s="752" t="s">
        <v>54</v>
      </c>
      <c r="M1476" s="752" t="s">
        <v>468</v>
      </c>
      <c r="N1476" s="752" t="s">
        <v>469</v>
      </c>
      <c r="O1476" s="752" t="s">
        <v>469</v>
      </c>
      <c r="P1476" s="752" t="s">
        <v>1238</v>
      </c>
      <c r="Q1476" s="753">
        <v>0</v>
      </c>
      <c r="R1476" s="753">
        <v>0</v>
      </c>
      <c r="S1476" s="753">
        <v>35126</v>
      </c>
      <c r="T1476" s="753">
        <v>35126</v>
      </c>
      <c r="U1476" s="753">
        <v>3945</v>
      </c>
      <c r="V1476" s="751">
        <v>2019</v>
      </c>
      <c r="W1476" s="222"/>
      <c r="X1476" s="186"/>
      <c r="Y1476" s="86" t="str">
        <f t="shared" si="74"/>
        <v/>
      </c>
      <c r="Z1476" s="86" t="str">
        <f t="shared" si="75"/>
        <v/>
      </c>
      <c r="AA1476" s="44"/>
      <c r="AB1476" s="65"/>
      <c r="AC1476" s="40"/>
    </row>
    <row r="1477" spans="1:29" hidden="1">
      <c r="A1477" s="751">
        <v>59750</v>
      </c>
      <c r="B1477" s="752" t="s">
        <v>35</v>
      </c>
      <c r="C1477" s="751" t="s">
        <v>2960</v>
      </c>
      <c r="D1477" s="752" t="s">
        <v>1874</v>
      </c>
      <c r="E1477" s="752" t="s">
        <v>1875</v>
      </c>
      <c r="F1477" s="751">
        <v>58473</v>
      </c>
      <c r="G1477" s="752" t="s">
        <v>83</v>
      </c>
      <c r="H1477" s="752" t="s">
        <v>1245</v>
      </c>
      <c r="I1477" s="752" t="s">
        <v>60</v>
      </c>
      <c r="J1477" s="751">
        <v>22</v>
      </c>
      <c r="K1477" s="751">
        <v>2</v>
      </c>
      <c r="L1477" s="752" t="s">
        <v>54</v>
      </c>
      <c r="M1477" s="752" t="s">
        <v>468</v>
      </c>
      <c r="N1477" s="752" t="s">
        <v>469</v>
      </c>
      <c r="O1477" s="752" t="s">
        <v>469</v>
      </c>
      <c r="P1477" s="752" t="s">
        <v>1238</v>
      </c>
      <c r="Q1477" s="753">
        <v>0</v>
      </c>
      <c r="R1477" s="753">
        <v>0</v>
      </c>
      <c r="S1477" s="753">
        <v>31279</v>
      </c>
      <c r="T1477" s="753">
        <v>31279</v>
      </c>
      <c r="U1477" s="753">
        <v>3513</v>
      </c>
      <c r="V1477" s="751">
        <v>2019</v>
      </c>
      <c r="W1477" s="222"/>
      <c r="X1477" s="186"/>
      <c r="Y1477" s="178" t="str">
        <f t="shared" si="74"/>
        <v/>
      </c>
      <c r="Z1477" s="178" t="str">
        <f t="shared" si="75"/>
        <v/>
      </c>
      <c r="AA1477" s="44"/>
      <c r="AB1477" s="65"/>
      <c r="AC1477" s="40"/>
    </row>
    <row r="1478" spans="1:29" ht="25" hidden="1">
      <c r="A1478" s="751">
        <v>59752</v>
      </c>
      <c r="B1478" s="752" t="s">
        <v>35</v>
      </c>
      <c r="C1478" s="751" t="s">
        <v>2960</v>
      </c>
      <c r="D1478" s="752" t="s">
        <v>1971</v>
      </c>
      <c r="E1478" s="752" t="s">
        <v>1972</v>
      </c>
      <c r="F1478" s="751">
        <v>59519</v>
      </c>
      <c r="G1478" s="752" t="s">
        <v>83</v>
      </c>
      <c r="H1478" s="752" t="s">
        <v>1245</v>
      </c>
      <c r="I1478" s="752" t="s">
        <v>60</v>
      </c>
      <c r="J1478" s="751">
        <v>22</v>
      </c>
      <c r="K1478" s="751">
        <v>2</v>
      </c>
      <c r="L1478" s="752" t="s">
        <v>54</v>
      </c>
      <c r="M1478" s="752" t="s">
        <v>468</v>
      </c>
      <c r="N1478" s="752" t="s">
        <v>469</v>
      </c>
      <c r="O1478" s="752" t="s">
        <v>469</v>
      </c>
      <c r="P1478" s="752" t="s">
        <v>1238</v>
      </c>
      <c r="Q1478" s="753">
        <v>0</v>
      </c>
      <c r="R1478" s="753">
        <v>0</v>
      </c>
      <c r="S1478" s="753">
        <v>16098</v>
      </c>
      <c r="T1478" s="753">
        <v>16098</v>
      </c>
      <c r="U1478" s="753">
        <v>1808</v>
      </c>
      <c r="V1478" s="751">
        <v>2019</v>
      </c>
      <c r="W1478" s="222"/>
      <c r="X1478" s="186"/>
      <c r="Y1478" s="178" t="str">
        <f t="shared" si="74"/>
        <v/>
      </c>
      <c r="Z1478" s="178" t="str">
        <f t="shared" si="75"/>
        <v/>
      </c>
      <c r="AA1478" s="44"/>
      <c r="AB1478" s="65"/>
      <c r="AC1478" s="40"/>
    </row>
    <row r="1479" spans="1:29" hidden="1">
      <c r="A1479" s="751">
        <v>59755</v>
      </c>
      <c r="B1479" s="752" t="s">
        <v>35</v>
      </c>
      <c r="C1479" s="751" t="s">
        <v>2960</v>
      </c>
      <c r="D1479" s="752" t="s">
        <v>1876</v>
      </c>
      <c r="E1479" s="752" t="s">
        <v>1877</v>
      </c>
      <c r="F1479" s="751">
        <v>59522</v>
      </c>
      <c r="G1479" s="752" t="s">
        <v>91</v>
      </c>
      <c r="H1479" s="752" t="s">
        <v>1245</v>
      </c>
      <c r="I1479" s="752" t="s">
        <v>60</v>
      </c>
      <c r="J1479" s="751">
        <v>22</v>
      </c>
      <c r="K1479" s="751">
        <v>2</v>
      </c>
      <c r="L1479" s="752" t="s">
        <v>54</v>
      </c>
      <c r="M1479" s="752" t="s">
        <v>468</v>
      </c>
      <c r="N1479" s="752" t="s">
        <v>469</v>
      </c>
      <c r="O1479" s="752" t="s">
        <v>469</v>
      </c>
      <c r="P1479" s="752" t="s">
        <v>1238</v>
      </c>
      <c r="Q1479" s="753">
        <v>0</v>
      </c>
      <c r="R1479" s="753">
        <v>0</v>
      </c>
      <c r="S1479" s="753">
        <v>24184</v>
      </c>
      <c r="T1479" s="753">
        <v>24184</v>
      </c>
      <c r="U1479" s="753">
        <v>2716</v>
      </c>
      <c r="V1479" s="751">
        <v>2019</v>
      </c>
      <c r="W1479" s="222"/>
      <c r="X1479" s="186"/>
      <c r="Y1479" s="178" t="str">
        <f t="shared" ref="Y1479:Y1542" si="76">IF(AND($M1479=$Y$2,$N1479=$Y$3,NOT($Q1479=$R1479),NOT($U1479=0)),IF($K1479=5,$S1479/($U1479+(8/5)*$U1479),IF($K1479=7,$S1479/($U1479+(29/25)*$U1479),"")),"")</f>
        <v/>
      </c>
      <c r="Z1479" s="178" t="str">
        <f t="shared" ref="Z1479:Z1542" si="77">IF(AND($M1479=$Y$2,$N1479=$Y$4,NOT($Q1479=$R1479),NOT($U1479=0)),IF($K1479=5,$S1479/($U1479+(8/5)*$U1479),IF($K1479=7,$S1479/($U1479+(29/25)*$U1479),"")),"")</f>
        <v/>
      </c>
      <c r="AA1479" s="44"/>
      <c r="AB1479" s="65"/>
      <c r="AC1479" s="40"/>
    </row>
    <row r="1480" spans="1:29" hidden="1">
      <c r="A1480" s="751">
        <v>59765</v>
      </c>
      <c r="B1480" s="752" t="s">
        <v>35</v>
      </c>
      <c r="C1480" s="751" t="s">
        <v>2960</v>
      </c>
      <c r="D1480" s="752" t="s">
        <v>1878</v>
      </c>
      <c r="E1480" s="752" t="s">
        <v>1844</v>
      </c>
      <c r="F1480" s="751">
        <v>59232</v>
      </c>
      <c r="G1480" s="752" t="s">
        <v>83</v>
      </c>
      <c r="H1480" s="752" t="s">
        <v>1245</v>
      </c>
      <c r="I1480" s="752" t="s">
        <v>60</v>
      </c>
      <c r="J1480" s="751">
        <v>22</v>
      </c>
      <c r="K1480" s="751">
        <v>2</v>
      </c>
      <c r="L1480" s="752" t="s">
        <v>54</v>
      </c>
      <c r="M1480" s="752" t="s">
        <v>468</v>
      </c>
      <c r="N1480" s="752" t="s">
        <v>469</v>
      </c>
      <c r="O1480" s="752" t="s">
        <v>469</v>
      </c>
      <c r="P1480" s="752" t="s">
        <v>1238</v>
      </c>
      <c r="Q1480" s="753">
        <v>0</v>
      </c>
      <c r="R1480" s="753">
        <v>0</v>
      </c>
      <c r="S1480" s="753">
        <v>26390</v>
      </c>
      <c r="T1480" s="753">
        <v>26390</v>
      </c>
      <c r="U1480" s="753">
        <v>2964</v>
      </c>
      <c r="V1480" s="751">
        <v>2019</v>
      </c>
      <c r="W1480" s="222"/>
      <c r="X1480" s="186"/>
      <c r="Y1480" s="178" t="str">
        <f t="shared" si="76"/>
        <v/>
      </c>
      <c r="Z1480" s="178" t="str">
        <f t="shared" si="77"/>
        <v/>
      </c>
      <c r="AA1480" s="44"/>
      <c r="AB1480" s="65"/>
      <c r="AC1480" s="40"/>
    </row>
    <row r="1481" spans="1:29" hidden="1">
      <c r="A1481" s="751">
        <v>59766</v>
      </c>
      <c r="B1481" s="752" t="s">
        <v>35</v>
      </c>
      <c r="C1481" s="751" t="s">
        <v>2960</v>
      </c>
      <c r="D1481" s="752" t="s">
        <v>1879</v>
      </c>
      <c r="E1481" s="752" t="s">
        <v>1844</v>
      </c>
      <c r="F1481" s="751">
        <v>59232</v>
      </c>
      <c r="G1481" s="752" t="s">
        <v>83</v>
      </c>
      <c r="H1481" s="752" t="s">
        <v>1245</v>
      </c>
      <c r="I1481" s="752" t="s">
        <v>60</v>
      </c>
      <c r="J1481" s="751">
        <v>22</v>
      </c>
      <c r="K1481" s="751">
        <v>2</v>
      </c>
      <c r="L1481" s="752" t="s">
        <v>54</v>
      </c>
      <c r="M1481" s="752" t="s">
        <v>468</v>
      </c>
      <c r="N1481" s="752" t="s">
        <v>469</v>
      </c>
      <c r="O1481" s="752" t="s">
        <v>469</v>
      </c>
      <c r="P1481" s="752" t="s">
        <v>1238</v>
      </c>
      <c r="Q1481" s="753">
        <v>0</v>
      </c>
      <c r="R1481" s="753">
        <v>0</v>
      </c>
      <c r="S1481" s="753">
        <v>20765</v>
      </c>
      <c r="T1481" s="753">
        <v>20765</v>
      </c>
      <c r="U1481" s="753">
        <v>2332</v>
      </c>
      <c r="V1481" s="751">
        <v>2019</v>
      </c>
      <c r="W1481" s="222"/>
      <c r="X1481" s="186"/>
      <c r="Y1481" s="178" t="str">
        <f t="shared" si="76"/>
        <v/>
      </c>
      <c r="Z1481" s="178" t="str">
        <f t="shared" si="77"/>
        <v/>
      </c>
      <c r="AA1481" s="44"/>
      <c r="AB1481" s="65"/>
      <c r="AC1481" s="40"/>
    </row>
    <row r="1482" spans="1:29" hidden="1">
      <c r="A1482" s="751">
        <v>59767</v>
      </c>
      <c r="B1482" s="752" t="s">
        <v>35</v>
      </c>
      <c r="C1482" s="751" t="s">
        <v>2960</v>
      </c>
      <c r="D1482" s="752" t="s">
        <v>1880</v>
      </c>
      <c r="E1482" s="752" t="s">
        <v>1844</v>
      </c>
      <c r="F1482" s="751">
        <v>59232</v>
      </c>
      <c r="G1482" s="752" t="s">
        <v>83</v>
      </c>
      <c r="H1482" s="752" t="s">
        <v>1245</v>
      </c>
      <c r="I1482" s="752" t="s">
        <v>60</v>
      </c>
      <c r="J1482" s="751">
        <v>22</v>
      </c>
      <c r="K1482" s="751">
        <v>2</v>
      </c>
      <c r="L1482" s="752" t="s">
        <v>54</v>
      </c>
      <c r="M1482" s="752" t="s">
        <v>468</v>
      </c>
      <c r="N1482" s="752" t="s">
        <v>469</v>
      </c>
      <c r="O1482" s="752" t="s">
        <v>469</v>
      </c>
      <c r="P1482" s="752" t="s">
        <v>1238</v>
      </c>
      <c r="Q1482" s="753">
        <v>0</v>
      </c>
      <c r="R1482" s="753">
        <v>0</v>
      </c>
      <c r="S1482" s="753">
        <v>60708</v>
      </c>
      <c r="T1482" s="753">
        <v>60708</v>
      </c>
      <c r="U1482" s="753">
        <v>6818</v>
      </c>
      <c r="V1482" s="751">
        <v>2019</v>
      </c>
      <c r="W1482" s="222"/>
      <c r="X1482" s="186"/>
      <c r="Y1482" s="178" t="str">
        <f t="shared" si="76"/>
        <v/>
      </c>
      <c r="Z1482" s="178" t="str">
        <f t="shared" si="77"/>
        <v/>
      </c>
      <c r="AA1482" s="44"/>
      <c r="AB1482" s="65"/>
      <c r="AC1482" s="40"/>
    </row>
    <row r="1483" spans="1:29" hidden="1">
      <c r="A1483" s="751">
        <v>59768</v>
      </c>
      <c r="B1483" s="752" t="s">
        <v>35</v>
      </c>
      <c r="C1483" s="751" t="s">
        <v>2960</v>
      </c>
      <c r="D1483" s="752" t="s">
        <v>1881</v>
      </c>
      <c r="E1483" s="752" t="s">
        <v>1844</v>
      </c>
      <c r="F1483" s="751">
        <v>59232</v>
      </c>
      <c r="G1483" s="752" t="s">
        <v>83</v>
      </c>
      <c r="H1483" s="752" t="s">
        <v>1245</v>
      </c>
      <c r="I1483" s="752" t="s">
        <v>60</v>
      </c>
      <c r="J1483" s="751">
        <v>22</v>
      </c>
      <c r="K1483" s="751">
        <v>2</v>
      </c>
      <c r="L1483" s="752" t="s">
        <v>54</v>
      </c>
      <c r="M1483" s="752" t="s">
        <v>468</v>
      </c>
      <c r="N1483" s="752" t="s">
        <v>469</v>
      </c>
      <c r="O1483" s="752" t="s">
        <v>469</v>
      </c>
      <c r="P1483" s="752" t="s">
        <v>1238</v>
      </c>
      <c r="Q1483" s="753">
        <v>0</v>
      </c>
      <c r="R1483" s="753">
        <v>0</v>
      </c>
      <c r="S1483" s="753">
        <v>18377</v>
      </c>
      <c r="T1483" s="753">
        <v>18377</v>
      </c>
      <c r="U1483" s="753">
        <v>2064</v>
      </c>
      <c r="V1483" s="751">
        <v>2019</v>
      </c>
      <c r="W1483" s="222"/>
      <c r="X1483" s="186"/>
      <c r="Y1483" s="178" t="str">
        <f t="shared" si="76"/>
        <v/>
      </c>
      <c r="Z1483" s="178" t="str">
        <f t="shared" si="77"/>
        <v/>
      </c>
      <c r="AA1483" s="44"/>
      <c r="AB1483" s="65"/>
      <c r="AC1483" s="40"/>
    </row>
    <row r="1484" spans="1:29" hidden="1">
      <c r="A1484" s="751">
        <v>59775</v>
      </c>
      <c r="B1484" s="752" t="s">
        <v>35</v>
      </c>
      <c r="C1484" s="751" t="s">
        <v>2960</v>
      </c>
      <c r="D1484" s="752" t="s">
        <v>1882</v>
      </c>
      <c r="E1484" s="752" t="s">
        <v>1883</v>
      </c>
      <c r="F1484" s="751">
        <v>59542</v>
      </c>
      <c r="G1484" s="752" t="s">
        <v>83</v>
      </c>
      <c r="H1484" s="752" t="s">
        <v>1245</v>
      </c>
      <c r="I1484" s="752" t="s">
        <v>60</v>
      </c>
      <c r="J1484" s="751">
        <v>22</v>
      </c>
      <c r="K1484" s="751">
        <v>2</v>
      </c>
      <c r="L1484" s="752" t="s">
        <v>54</v>
      </c>
      <c r="M1484" s="752" t="s">
        <v>468</v>
      </c>
      <c r="N1484" s="752" t="s">
        <v>469</v>
      </c>
      <c r="O1484" s="752" t="s">
        <v>469</v>
      </c>
      <c r="P1484" s="752" t="s">
        <v>1238</v>
      </c>
      <c r="Q1484" s="753">
        <v>0</v>
      </c>
      <c r="R1484" s="753">
        <v>0</v>
      </c>
      <c r="S1484" s="753">
        <v>35615</v>
      </c>
      <c r="T1484" s="753">
        <v>35615</v>
      </c>
      <c r="U1484" s="753">
        <v>4000</v>
      </c>
      <c r="V1484" s="751">
        <v>2019</v>
      </c>
      <c r="W1484" s="222"/>
      <c r="X1484" s="186"/>
      <c r="Y1484" s="86" t="str">
        <f t="shared" si="76"/>
        <v/>
      </c>
      <c r="Z1484" s="86" t="str">
        <f t="shared" si="77"/>
        <v/>
      </c>
      <c r="AA1484" s="44"/>
      <c r="AB1484" s="65"/>
      <c r="AC1484" s="40"/>
    </row>
    <row r="1485" spans="1:29" ht="25" hidden="1">
      <c r="A1485" s="751">
        <v>59777</v>
      </c>
      <c r="B1485" s="752" t="s">
        <v>35</v>
      </c>
      <c r="C1485" s="751" t="s">
        <v>2960</v>
      </c>
      <c r="D1485" s="752" t="s">
        <v>2065</v>
      </c>
      <c r="E1485" s="752" t="s">
        <v>1972</v>
      </c>
      <c r="F1485" s="751">
        <v>59519</v>
      </c>
      <c r="G1485" s="752" t="s">
        <v>83</v>
      </c>
      <c r="H1485" s="752" t="s">
        <v>1245</v>
      </c>
      <c r="I1485" s="752" t="s">
        <v>60</v>
      </c>
      <c r="J1485" s="751">
        <v>22</v>
      </c>
      <c r="K1485" s="751">
        <v>2</v>
      </c>
      <c r="L1485" s="752" t="s">
        <v>54</v>
      </c>
      <c r="M1485" s="752" t="s">
        <v>468</v>
      </c>
      <c r="N1485" s="752" t="s">
        <v>469</v>
      </c>
      <c r="O1485" s="752" t="s">
        <v>469</v>
      </c>
      <c r="P1485" s="752" t="s">
        <v>1238</v>
      </c>
      <c r="Q1485" s="753">
        <v>0</v>
      </c>
      <c r="R1485" s="753">
        <v>0</v>
      </c>
      <c r="S1485" s="753">
        <v>21860</v>
      </c>
      <c r="T1485" s="753">
        <v>21860</v>
      </c>
      <c r="U1485" s="753">
        <v>2455</v>
      </c>
      <c r="V1485" s="751">
        <v>2019</v>
      </c>
      <c r="W1485" s="222"/>
      <c r="X1485" s="186"/>
      <c r="Y1485" s="178" t="str">
        <f t="shared" si="76"/>
        <v/>
      </c>
      <c r="Z1485" s="178" t="str">
        <f t="shared" si="77"/>
        <v/>
      </c>
      <c r="AA1485" s="44"/>
      <c r="AB1485" s="65"/>
      <c r="AC1485" s="40"/>
    </row>
    <row r="1486" spans="1:29" hidden="1">
      <c r="A1486" s="751">
        <v>59780</v>
      </c>
      <c r="B1486" s="752" t="s">
        <v>35</v>
      </c>
      <c r="C1486" s="751" t="s">
        <v>2960</v>
      </c>
      <c r="D1486" s="752" t="s">
        <v>1884</v>
      </c>
      <c r="E1486" s="752" t="s">
        <v>1885</v>
      </c>
      <c r="F1486" s="751">
        <v>59545</v>
      </c>
      <c r="G1486" s="752" t="s">
        <v>83</v>
      </c>
      <c r="H1486" s="752" t="s">
        <v>1245</v>
      </c>
      <c r="I1486" s="752" t="s">
        <v>60</v>
      </c>
      <c r="J1486" s="751">
        <v>22</v>
      </c>
      <c r="K1486" s="751">
        <v>2</v>
      </c>
      <c r="L1486" s="752" t="s">
        <v>54</v>
      </c>
      <c r="M1486" s="752" t="s">
        <v>468</v>
      </c>
      <c r="N1486" s="752" t="s">
        <v>469</v>
      </c>
      <c r="O1486" s="752" t="s">
        <v>469</v>
      </c>
      <c r="P1486" s="752" t="s">
        <v>1238</v>
      </c>
      <c r="Q1486" s="753">
        <v>0</v>
      </c>
      <c r="R1486" s="753">
        <v>0</v>
      </c>
      <c r="S1486" s="753">
        <v>59158</v>
      </c>
      <c r="T1486" s="753">
        <v>59158</v>
      </c>
      <c r="U1486" s="753">
        <v>6644</v>
      </c>
      <c r="V1486" s="751">
        <v>2019</v>
      </c>
      <c r="W1486" s="222"/>
      <c r="X1486" s="186"/>
      <c r="Y1486" s="86" t="str">
        <f t="shared" si="76"/>
        <v/>
      </c>
      <c r="Z1486" s="86" t="str">
        <f t="shared" si="77"/>
        <v/>
      </c>
      <c r="AA1486" s="44"/>
      <c r="AB1486" s="65"/>
      <c r="AC1486" s="40"/>
    </row>
    <row r="1487" spans="1:29" ht="25" hidden="1">
      <c r="A1487" s="751">
        <v>59781</v>
      </c>
      <c r="B1487" s="752" t="s">
        <v>35</v>
      </c>
      <c r="C1487" s="751" t="s">
        <v>2960</v>
      </c>
      <c r="D1487" s="752" t="s">
        <v>1886</v>
      </c>
      <c r="E1487" s="752" t="s">
        <v>1887</v>
      </c>
      <c r="F1487" s="751">
        <v>59546</v>
      </c>
      <c r="G1487" s="752" t="s">
        <v>83</v>
      </c>
      <c r="H1487" s="752" t="s">
        <v>1245</v>
      </c>
      <c r="I1487" s="752" t="s">
        <v>60</v>
      </c>
      <c r="J1487" s="751">
        <v>22</v>
      </c>
      <c r="K1487" s="751">
        <v>2</v>
      </c>
      <c r="L1487" s="752" t="s">
        <v>54</v>
      </c>
      <c r="M1487" s="752" t="s">
        <v>468</v>
      </c>
      <c r="N1487" s="752" t="s">
        <v>469</v>
      </c>
      <c r="O1487" s="752" t="s">
        <v>469</v>
      </c>
      <c r="P1487" s="752" t="s">
        <v>1238</v>
      </c>
      <c r="Q1487" s="753">
        <v>0</v>
      </c>
      <c r="R1487" s="753">
        <v>0</v>
      </c>
      <c r="S1487" s="753">
        <v>61919</v>
      </c>
      <c r="T1487" s="753">
        <v>61919</v>
      </c>
      <c r="U1487" s="753">
        <v>6954</v>
      </c>
      <c r="V1487" s="751">
        <v>2019</v>
      </c>
      <c r="W1487" s="222"/>
      <c r="X1487" s="186"/>
      <c r="Y1487" s="178" t="str">
        <f t="shared" si="76"/>
        <v/>
      </c>
      <c r="Z1487" s="178" t="str">
        <f t="shared" si="77"/>
        <v/>
      </c>
      <c r="AA1487" s="44"/>
      <c r="AB1487" s="65"/>
      <c r="AC1487" s="40"/>
    </row>
    <row r="1488" spans="1:29" hidden="1">
      <c r="A1488" s="751">
        <v>59788</v>
      </c>
      <c r="B1488" s="752" t="s">
        <v>35</v>
      </c>
      <c r="C1488" s="751" t="s">
        <v>2960</v>
      </c>
      <c r="D1488" s="752" t="s">
        <v>1888</v>
      </c>
      <c r="E1488" s="752" t="s">
        <v>2040</v>
      </c>
      <c r="F1488" s="751">
        <v>60947</v>
      </c>
      <c r="G1488" s="752" t="s">
        <v>43</v>
      </c>
      <c r="H1488" s="752" t="s">
        <v>1245</v>
      </c>
      <c r="I1488" s="752" t="s">
        <v>60</v>
      </c>
      <c r="J1488" s="751">
        <v>22</v>
      </c>
      <c r="K1488" s="751">
        <v>2</v>
      </c>
      <c r="L1488" s="752" t="s">
        <v>54</v>
      </c>
      <c r="M1488" s="752" t="s">
        <v>468</v>
      </c>
      <c r="N1488" s="752" t="s">
        <v>469</v>
      </c>
      <c r="O1488" s="752" t="s">
        <v>469</v>
      </c>
      <c r="P1488" s="752" t="s">
        <v>1238</v>
      </c>
      <c r="Q1488" s="753">
        <v>0</v>
      </c>
      <c r="R1488" s="753">
        <v>0</v>
      </c>
      <c r="S1488" s="753">
        <v>7301</v>
      </c>
      <c r="T1488" s="753">
        <v>7301</v>
      </c>
      <c r="U1488" s="753">
        <v>820</v>
      </c>
      <c r="V1488" s="751">
        <v>2019</v>
      </c>
      <c r="W1488" s="222"/>
      <c r="X1488" s="186"/>
      <c r="Y1488" s="86" t="str">
        <f t="shared" si="76"/>
        <v/>
      </c>
      <c r="Z1488" s="86" t="str">
        <f t="shared" si="77"/>
        <v/>
      </c>
      <c r="AA1488" s="44"/>
      <c r="AB1488" s="65"/>
      <c r="AC1488" s="40"/>
    </row>
    <row r="1489" spans="1:29" hidden="1">
      <c r="A1489" s="751">
        <v>59789</v>
      </c>
      <c r="B1489" s="752" t="s">
        <v>35</v>
      </c>
      <c r="C1489" s="751" t="s">
        <v>2960</v>
      </c>
      <c r="D1489" s="752" t="s">
        <v>1973</v>
      </c>
      <c r="E1489" s="752" t="s">
        <v>2040</v>
      </c>
      <c r="F1489" s="751">
        <v>60947</v>
      </c>
      <c r="G1489" s="752" t="s">
        <v>59</v>
      </c>
      <c r="H1489" s="752" t="s">
        <v>1244</v>
      </c>
      <c r="I1489" s="752" t="s">
        <v>60</v>
      </c>
      <c r="J1489" s="751">
        <v>22</v>
      </c>
      <c r="K1489" s="751">
        <v>2</v>
      </c>
      <c r="L1489" s="752" t="s">
        <v>54</v>
      </c>
      <c r="M1489" s="752" t="s">
        <v>468</v>
      </c>
      <c r="N1489" s="752" t="s">
        <v>469</v>
      </c>
      <c r="O1489" s="752" t="s">
        <v>469</v>
      </c>
      <c r="P1489" s="752" t="s">
        <v>1238</v>
      </c>
      <c r="Q1489" s="753">
        <v>0</v>
      </c>
      <c r="R1489" s="753">
        <v>0</v>
      </c>
      <c r="S1489" s="753">
        <v>17239</v>
      </c>
      <c r="T1489" s="753">
        <v>17239</v>
      </c>
      <c r="U1489" s="753">
        <v>1936</v>
      </c>
      <c r="V1489" s="751">
        <v>2019</v>
      </c>
      <c r="W1489" s="222"/>
      <c r="X1489" s="186"/>
      <c r="Y1489" s="86" t="str">
        <f t="shared" si="76"/>
        <v/>
      </c>
      <c r="Z1489" s="86" t="str">
        <f t="shared" si="77"/>
        <v/>
      </c>
      <c r="AA1489" s="44"/>
      <c r="AB1489" s="65"/>
      <c r="AC1489" s="40"/>
    </row>
    <row r="1490" spans="1:29">
      <c r="A1490" s="751">
        <v>59801</v>
      </c>
      <c r="B1490" s="752" t="s">
        <v>35</v>
      </c>
      <c r="C1490" s="751" t="s">
        <v>2960</v>
      </c>
      <c r="D1490" s="752" t="s">
        <v>1889</v>
      </c>
      <c r="E1490" s="752" t="s">
        <v>1890</v>
      </c>
      <c r="F1490" s="751">
        <v>57128</v>
      </c>
      <c r="G1490" s="752" t="s">
        <v>43</v>
      </c>
      <c r="H1490" s="752" t="s">
        <v>1245</v>
      </c>
      <c r="I1490" s="752" t="s">
        <v>60</v>
      </c>
      <c r="J1490" s="751">
        <v>22</v>
      </c>
      <c r="K1490" s="751">
        <v>2</v>
      </c>
      <c r="L1490" s="752" t="s">
        <v>54</v>
      </c>
      <c r="M1490" s="752" t="s">
        <v>1322</v>
      </c>
      <c r="N1490" s="752" t="s">
        <v>41</v>
      </c>
      <c r="O1490" s="752" t="s">
        <v>41</v>
      </c>
      <c r="P1490" s="752" t="s">
        <v>1091</v>
      </c>
      <c r="Q1490" s="753">
        <v>45620</v>
      </c>
      <c r="R1490" s="753">
        <v>45620</v>
      </c>
      <c r="S1490" s="753">
        <v>46896</v>
      </c>
      <c r="T1490" s="753">
        <v>46896</v>
      </c>
      <c r="U1490" s="753">
        <v>6412</v>
      </c>
      <c r="V1490" s="751">
        <v>2019</v>
      </c>
      <c r="W1490" s="222"/>
      <c r="X1490" s="186"/>
      <c r="Y1490" s="86" t="str">
        <f t="shared" si="76"/>
        <v/>
      </c>
      <c r="Z1490" s="86" t="str">
        <f t="shared" si="77"/>
        <v/>
      </c>
      <c r="AA1490" s="44"/>
      <c r="AB1490" s="65"/>
      <c r="AC1490" s="40"/>
    </row>
    <row r="1491" spans="1:29" hidden="1">
      <c r="A1491" s="751">
        <v>59815</v>
      </c>
      <c r="B1491" s="752" t="s">
        <v>35</v>
      </c>
      <c r="C1491" s="751" t="s">
        <v>2960</v>
      </c>
      <c r="D1491" s="752" t="s">
        <v>1891</v>
      </c>
      <c r="E1491" s="752" t="s">
        <v>1892</v>
      </c>
      <c r="F1491" s="751">
        <v>59596</v>
      </c>
      <c r="G1491" s="752" t="s">
        <v>83</v>
      </c>
      <c r="H1491" s="752" t="s">
        <v>1245</v>
      </c>
      <c r="I1491" s="752" t="s">
        <v>60</v>
      </c>
      <c r="J1491" s="751">
        <v>22</v>
      </c>
      <c r="K1491" s="751">
        <v>2</v>
      </c>
      <c r="L1491" s="752" t="s">
        <v>54</v>
      </c>
      <c r="M1491" s="752" t="s">
        <v>53</v>
      </c>
      <c r="N1491" s="752" t="s">
        <v>65</v>
      </c>
      <c r="O1491" s="752" t="s">
        <v>66</v>
      </c>
      <c r="P1491" s="752" t="s">
        <v>1091</v>
      </c>
      <c r="Q1491" s="753">
        <v>213682</v>
      </c>
      <c r="R1491" s="753">
        <v>213682</v>
      </c>
      <c r="S1491" s="753">
        <v>128211</v>
      </c>
      <c r="T1491" s="753">
        <v>128211</v>
      </c>
      <c r="U1491" s="753">
        <v>8341</v>
      </c>
      <c r="V1491" s="751">
        <v>2019</v>
      </c>
      <c r="W1491" s="222"/>
      <c r="X1491" s="186"/>
      <c r="Y1491" s="178" t="str">
        <f t="shared" si="76"/>
        <v/>
      </c>
      <c r="Z1491" s="178" t="str">
        <f t="shared" si="77"/>
        <v/>
      </c>
      <c r="AA1491" s="44"/>
      <c r="AB1491" s="65"/>
      <c r="AC1491" s="40"/>
    </row>
    <row r="1492" spans="1:29" hidden="1">
      <c r="A1492" s="751">
        <v>59816</v>
      </c>
      <c r="B1492" s="752" t="s">
        <v>35</v>
      </c>
      <c r="C1492" s="751" t="s">
        <v>2960</v>
      </c>
      <c r="D1492" s="752" t="s">
        <v>1893</v>
      </c>
      <c r="E1492" s="752" t="s">
        <v>1894</v>
      </c>
      <c r="F1492" s="751">
        <v>59597</v>
      </c>
      <c r="G1492" s="752" t="s">
        <v>59</v>
      </c>
      <c r="H1492" s="752" t="s">
        <v>1244</v>
      </c>
      <c r="I1492" s="752" t="s">
        <v>60</v>
      </c>
      <c r="J1492" s="751">
        <v>22</v>
      </c>
      <c r="K1492" s="751">
        <v>2</v>
      </c>
      <c r="L1492" s="752" t="s">
        <v>54</v>
      </c>
      <c r="M1492" s="752" t="s">
        <v>53</v>
      </c>
      <c r="N1492" s="752" t="s">
        <v>65</v>
      </c>
      <c r="O1492" s="752" t="s">
        <v>66</v>
      </c>
      <c r="P1492" s="752" t="s">
        <v>1091</v>
      </c>
      <c r="Q1492" s="753">
        <v>706500</v>
      </c>
      <c r="R1492" s="753">
        <v>706500</v>
      </c>
      <c r="S1492" s="753">
        <v>254340</v>
      </c>
      <c r="T1492" s="753">
        <v>254340</v>
      </c>
      <c r="U1492" s="753">
        <v>26147</v>
      </c>
      <c r="V1492" s="751">
        <v>2019</v>
      </c>
      <c r="W1492" s="222"/>
      <c r="X1492" s="186"/>
      <c r="Y1492" s="178" t="str">
        <f t="shared" si="76"/>
        <v/>
      </c>
      <c r="Z1492" s="178" t="str">
        <f t="shared" si="77"/>
        <v/>
      </c>
      <c r="AA1492" s="44"/>
      <c r="AB1492" s="65"/>
      <c r="AC1492" s="40"/>
    </row>
    <row r="1493" spans="1:29" hidden="1">
      <c r="A1493" s="751">
        <v>59820</v>
      </c>
      <c r="B1493" s="752" t="s">
        <v>35</v>
      </c>
      <c r="C1493" s="751" t="s">
        <v>2960</v>
      </c>
      <c r="D1493" s="752" t="s">
        <v>1895</v>
      </c>
      <c r="E1493" s="752" t="s">
        <v>1896</v>
      </c>
      <c r="F1493" s="751">
        <v>59601</v>
      </c>
      <c r="G1493" s="752" t="s">
        <v>83</v>
      </c>
      <c r="H1493" s="752" t="s">
        <v>1245</v>
      </c>
      <c r="I1493" s="752" t="s">
        <v>60</v>
      </c>
      <c r="J1493" s="751">
        <v>22</v>
      </c>
      <c r="K1493" s="751">
        <v>2</v>
      </c>
      <c r="L1493" s="752" t="s">
        <v>54</v>
      </c>
      <c r="M1493" s="752" t="s">
        <v>468</v>
      </c>
      <c r="N1493" s="752" t="s">
        <v>469</v>
      </c>
      <c r="O1493" s="752" t="s">
        <v>469</v>
      </c>
      <c r="P1493" s="752" t="s">
        <v>1238</v>
      </c>
      <c r="Q1493" s="753">
        <v>0</v>
      </c>
      <c r="R1493" s="753">
        <v>0</v>
      </c>
      <c r="S1493" s="753">
        <v>34245</v>
      </c>
      <c r="T1493" s="753">
        <v>34245</v>
      </c>
      <c r="U1493" s="753">
        <v>3846</v>
      </c>
      <c r="V1493" s="751">
        <v>2019</v>
      </c>
      <c r="W1493" s="222"/>
      <c r="X1493" s="186"/>
      <c r="Y1493" s="178" t="str">
        <f t="shared" si="76"/>
        <v/>
      </c>
      <c r="Z1493" s="178" t="str">
        <f t="shared" si="77"/>
        <v/>
      </c>
      <c r="AA1493" s="44"/>
      <c r="AB1493" s="65"/>
      <c r="AC1493" s="40"/>
    </row>
    <row r="1494" spans="1:29" hidden="1">
      <c r="A1494" s="751">
        <v>59821</v>
      </c>
      <c r="B1494" s="752" t="s">
        <v>35</v>
      </c>
      <c r="C1494" s="751" t="s">
        <v>2960</v>
      </c>
      <c r="D1494" s="752" t="s">
        <v>1897</v>
      </c>
      <c r="E1494" s="752" t="s">
        <v>1898</v>
      </c>
      <c r="F1494" s="751">
        <v>59602</v>
      </c>
      <c r="G1494" s="752" t="s">
        <v>83</v>
      </c>
      <c r="H1494" s="752" t="s">
        <v>1245</v>
      </c>
      <c r="I1494" s="752" t="s">
        <v>60</v>
      </c>
      <c r="J1494" s="751">
        <v>22</v>
      </c>
      <c r="K1494" s="751">
        <v>2</v>
      </c>
      <c r="L1494" s="752" t="s">
        <v>54</v>
      </c>
      <c r="M1494" s="752" t="s">
        <v>468</v>
      </c>
      <c r="N1494" s="752" t="s">
        <v>469</v>
      </c>
      <c r="O1494" s="752" t="s">
        <v>469</v>
      </c>
      <c r="P1494" s="752" t="s">
        <v>1238</v>
      </c>
      <c r="Q1494" s="753">
        <v>0</v>
      </c>
      <c r="R1494" s="753">
        <v>0</v>
      </c>
      <c r="S1494" s="753">
        <v>45177</v>
      </c>
      <c r="T1494" s="753">
        <v>45177</v>
      </c>
      <c r="U1494" s="753">
        <v>5074</v>
      </c>
      <c r="V1494" s="751">
        <v>2019</v>
      </c>
      <c r="W1494" s="222"/>
      <c r="X1494" s="186"/>
      <c r="Y1494" s="178" t="str">
        <f t="shared" si="76"/>
        <v/>
      </c>
      <c r="Z1494" s="178" t="str">
        <f t="shared" si="77"/>
        <v/>
      </c>
      <c r="AA1494" s="44"/>
      <c r="AB1494" s="65"/>
      <c r="AC1494" s="40"/>
    </row>
    <row r="1495" spans="1:29" hidden="1">
      <c r="A1495" s="751">
        <v>59822</v>
      </c>
      <c r="B1495" s="752" t="s">
        <v>35</v>
      </c>
      <c r="C1495" s="751" t="s">
        <v>2960</v>
      </c>
      <c r="D1495" s="752" t="s">
        <v>1899</v>
      </c>
      <c r="E1495" s="752" t="s">
        <v>1900</v>
      </c>
      <c r="F1495" s="751">
        <v>59603</v>
      </c>
      <c r="G1495" s="752" t="s">
        <v>83</v>
      </c>
      <c r="H1495" s="752" t="s">
        <v>1245</v>
      </c>
      <c r="I1495" s="752" t="s">
        <v>60</v>
      </c>
      <c r="J1495" s="751">
        <v>22</v>
      </c>
      <c r="K1495" s="751">
        <v>2</v>
      </c>
      <c r="L1495" s="752" t="s">
        <v>54</v>
      </c>
      <c r="M1495" s="752" t="s">
        <v>468</v>
      </c>
      <c r="N1495" s="752" t="s">
        <v>469</v>
      </c>
      <c r="O1495" s="752" t="s">
        <v>469</v>
      </c>
      <c r="P1495" s="752" t="s">
        <v>1238</v>
      </c>
      <c r="Q1495" s="753">
        <v>0</v>
      </c>
      <c r="R1495" s="753">
        <v>0</v>
      </c>
      <c r="S1495" s="753">
        <v>25610</v>
      </c>
      <c r="T1495" s="753">
        <v>25610</v>
      </c>
      <c r="U1495" s="753">
        <v>2876</v>
      </c>
      <c r="V1495" s="751">
        <v>2019</v>
      </c>
      <c r="W1495" s="222"/>
      <c r="X1495" s="186"/>
      <c r="Y1495" s="178" t="str">
        <f t="shared" si="76"/>
        <v/>
      </c>
      <c r="Z1495" s="178" t="str">
        <f t="shared" si="77"/>
        <v/>
      </c>
      <c r="AA1495" s="44"/>
      <c r="AB1495" s="65"/>
      <c r="AC1495" s="40"/>
    </row>
    <row r="1496" spans="1:29" hidden="1">
      <c r="A1496" s="751">
        <v>59839</v>
      </c>
      <c r="B1496" s="752" t="s">
        <v>35</v>
      </c>
      <c r="C1496" s="751" t="s">
        <v>2960</v>
      </c>
      <c r="D1496" s="752" t="s">
        <v>1974</v>
      </c>
      <c r="E1496" s="752" t="s">
        <v>1957</v>
      </c>
      <c r="F1496" s="751">
        <v>58661</v>
      </c>
      <c r="G1496" s="752" t="s">
        <v>83</v>
      </c>
      <c r="H1496" s="752" t="s">
        <v>1245</v>
      </c>
      <c r="I1496" s="752" t="s">
        <v>60</v>
      </c>
      <c r="J1496" s="751">
        <v>22</v>
      </c>
      <c r="K1496" s="751">
        <v>2</v>
      </c>
      <c r="L1496" s="752" t="s">
        <v>54</v>
      </c>
      <c r="M1496" s="752" t="s">
        <v>468</v>
      </c>
      <c r="N1496" s="752" t="s">
        <v>469</v>
      </c>
      <c r="O1496" s="752" t="s">
        <v>469</v>
      </c>
      <c r="P1496" s="752" t="s">
        <v>1238</v>
      </c>
      <c r="Q1496" s="753">
        <v>0</v>
      </c>
      <c r="R1496" s="753">
        <v>0</v>
      </c>
      <c r="S1496" s="753">
        <v>26124</v>
      </c>
      <c r="T1496" s="753">
        <v>26124</v>
      </c>
      <c r="U1496" s="753">
        <v>2934</v>
      </c>
      <c r="V1496" s="751">
        <v>2019</v>
      </c>
      <c r="W1496" s="222"/>
      <c r="X1496" s="186"/>
      <c r="Y1496" s="178" t="str">
        <f t="shared" si="76"/>
        <v/>
      </c>
      <c r="Z1496" s="178" t="str">
        <f t="shared" si="77"/>
        <v/>
      </c>
      <c r="AA1496" s="44"/>
      <c r="AB1496" s="65"/>
      <c r="AC1496" s="40"/>
    </row>
    <row r="1497" spans="1:29" hidden="1">
      <c r="A1497" s="751">
        <v>59858</v>
      </c>
      <c r="B1497" s="752" t="s">
        <v>35</v>
      </c>
      <c r="C1497" s="751" t="s">
        <v>2960</v>
      </c>
      <c r="D1497" s="752" t="s">
        <v>1975</v>
      </c>
      <c r="E1497" s="752" t="s">
        <v>1976</v>
      </c>
      <c r="F1497" s="751">
        <v>59209</v>
      </c>
      <c r="G1497" s="752" t="s">
        <v>136</v>
      </c>
      <c r="H1497" s="752" t="s">
        <v>1245</v>
      </c>
      <c r="I1497" s="752" t="s">
        <v>60</v>
      </c>
      <c r="J1497" s="751">
        <v>22</v>
      </c>
      <c r="K1497" s="751">
        <v>2</v>
      </c>
      <c r="L1497" s="752" t="s">
        <v>54</v>
      </c>
      <c r="M1497" s="752" t="s">
        <v>468</v>
      </c>
      <c r="N1497" s="752" t="s">
        <v>469</v>
      </c>
      <c r="O1497" s="752" t="s">
        <v>469</v>
      </c>
      <c r="P1497" s="752" t="s">
        <v>1238</v>
      </c>
      <c r="Q1497" s="753">
        <v>0</v>
      </c>
      <c r="R1497" s="753">
        <v>0</v>
      </c>
      <c r="S1497" s="753">
        <v>16001</v>
      </c>
      <c r="T1497" s="753">
        <v>16001</v>
      </c>
      <c r="U1497" s="753">
        <v>1797</v>
      </c>
      <c r="V1497" s="751">
        <v>2019</v>
      </c>
      <c r="W1497" s="222"/>
      <c r="X1497" s="186"/>
      <c r="Y1497" s="178" t="str">
        <f t="shared" si="76"/>
        <v/>
      </c>
      <c r="Z1497" s="178" t="str">
        <f t="shared" si="77"/>
        <v/>
      </c>
      <c r="AA1497" s="44"/>
      <c r="AB1497" s="65"/>
      <c r="AC1497" s="40"/>
    </row>
    <row r="1498" spans="1:29" hidden="1">
      <c r="A1498" s="751">
        <v>59866</v>
      </c>
      <c r="B1498" s="752" t="s">
        <v>35</v>
      </c>
      <c r="C1498" s="751" t="s">
        <v>2960</v>
      </c>
      <c r="D1498" s="752" t="s">
        <v>1901</v>
      </c>
      <c r="E1498" s="752" t="s">
        <v>1901</v>
      </c>
      <c r="F1498" s="751">
        <v>59653</v>
      </c>
      <c r="G1498" s="752" t="s">
        <v>83</v>
      </c>
      <c r="H1498" s="752" t="s">
        <v>1245</v>
      </c>
      <c r="I1498" s="752" t="s">
        <v>60</v>
      </c>
      <c r="J1498" s="751">
        <v>22</v>
      </c>
      <c r="K1498" s="751">
        <v>2</v>
      </c>
      <c r="L1498" s="752" t="s">
        <v>54</v>
      </c>
      <c r="M1498" s="752" t="s">
        <v>468</v>
      </c>
      <c r="N1498" s="752" t="s">
        <v>469</v>
      </c>
      <c r="O1498" s="752" t="s">
        <v>469</v>
      </c>
      <c r="P1498" s="752" t="s">
        <v>1238</v>
      </c>
      <c r="Q1498" s="753">
        <v>0</v>
      </c>
      <c r="R1498" s="753">
        <v>0</v>
      </c>
      <c r="S1498" s="753">
        <v>26018</v>
      </c>
      <c r="T1498" s="753">
        <v>26018</v>
      </c>
      <c r="U1498" s="753">
        <v>2922</v>
      </c>
      <c r="V1498" s="751">
        <v>2019</v>
      </c>
      <c r="W1498" s="222"/>
      <c r="X1498" s="186"/>
      <c r="Y1498" s="178" t="str">
        <f t="shared" si="76"/>
        <v/>
      </c>
      <c r="Z1498" s="178" t="str">
        <f t="shared" si="77"/>
        <v/>
      </c>
      <c r="AA1498" s="44"/>
      <c r="AB1498" s="65"/>
      <c r="AC1498" s="40"/>
    </row>
    <row r="1499" spans="1:29" hidden="1">
      <c r="A1499" s="751">
        <v>59873</v>
      </c>
      <c r="B1499" s="752" t="s">
        <v>35</v>
      </c>
      <c r="C1499" s="751" t="s">
        <v>2960</v>
      </c>
      <c r="D1499" s="752" t="s">
        <v>1902</v>
      </c>
      <c r="E1499" s="752" t="s">
        <v>1903</v>
      </c>
      <c r="F1499" s="751">
        <v>59654</v>
      </c>
      <c r="G1499" s="752" t="s">
        <v>83</v>
      </c>
      <c r="H1499" s="752" t="s">
        <v>1245</v>
      </c>
      <c r="I1499" s="752" t="s">
        <v>60</v>
      </c>
      <c r="J1499" s="751">
        <v>22</v>
      </c>
      <c r="K1499" s="751">
        <v>2</v>
      </c>
      <c r="L1499" s="752" t="s">
        <v>54</v>
      </c>
      <c r="M1499" s="752" t="s">
        <v>468</v>
      </c>
      <c r="N1499" s="752" t="s">
        <v>469</v>
      </c>
      <c r="O1499" s="752" t="s">
        <v>469</v>
      </c>
      <c r="P1499" s="752" t="s">
        <v>1238</v>
      </c>
      <c r="Q1499" s="753">
        <v>0</v>
      </c>
      <c r="R1499" s="753">
        <v>0</v>
      </c>
      <c r="S1499" s="753">
        <v>12242</v>
      </c>
      <c r="T1499" s="753">
        <v>12242</v>
      </c>
      <c r="U1499" s="753">
        <v>1375</v>
      </c>
      <c r="V1499" s="751">
        <v>2019</v>
      </c>
      <c r="W1499" s="222"/>
      <c r="X1499" s="186"/>
      <c r="Y1499" s="178" t="str">
        <f t="shared" si="76"/>
        <v/>
      </c>
      <c r="Z1499" s="178" t="str">
        <f t="shared" si="77"/>
        <v/>
      </c>
      <c r="AA1499" s="44"/>
      <c r="AB1499" s="65"/>
      <c r="AC1499" s="40"/>
    </row>
    <row r="1500" spans="1:29" hidden="1">
      <c r="A1500" s="751">
        <v>59880</v>
      </c>
      <c r="B1500" s="752" t="s">
        <v>35</v>
      </c>
      <c r="C1500" s="751" t="s">
        <v>2960</v>
      </c>
      <c r="D1500" s="752" t="s">
        <v>2980</v>
      </c>
      <c r="E1500" s="752" t="s">
        <v>2981</v>
      </c>
      <c r="F1500" s="751">
        <v>62710</v>
      </c>
      <c r="G1500" s="752" t="s">
        <v>59</v>
      </c>
      <c r="H1500" s="752" t="s">
        <v>1244</v>
      </c>
      <c r="I1500" s="752" t="s">
        <v>60</v>
      </c>
      <c r="J1500" s="751">
        <v>22</v>
      </c>
      <c r="K1500" s="751">
        <v>2</v>
      </c>
      <c r="L1500" s="752" t="s">
        <v>54</v>
      </c>
      <c r="M1500" s="752" t="s">
        <v>468</v>
      </c>
      <c r="N1500" s="752" t="s">
        <v>469</v>
      </c>
      <c r="O1500" s="752" t="s">
        <v>469</v>
      </c>
      <c r="P1500" s="752" t="s">
        <v>1238</v>
      </c>
      <c r="Q1500" s="753">
        <v>0</v>
      </c>
      <c r="R1500" s="753">
        <v>0</v>
      </c>
      <c r="S1500" s="753">
        <v>26090</v>
      </c>
      <c r="T1500" s="753">
        <v>26090</v>
      </c>
      <c r="U1500" s="753">
        <v>2930</v>
      </c>
      <c r="V1500" s="751">
        <v>2019</v>
      </c>
      <c r="W1500" s="222"/>
      <c r="X1500" s="186"/>
      <c r="Y1500" s="178" t="str">
        <f t="shared" si="76"/>
        <v/>
      </c>
      <c r="Z1500" s="178" t="str">
        <f t="shared" si="77"/>
        <v/>
      </c>
      <c r="AA1500" s="44"/>
      <c r="AB1500" s="65"/>
      <c r="AC1500" s="40"/>
    </row>
    <row r="1501" spans="1:29" hidden="1">
      <c r="A1501" s="751">
        <v>59881</v>
      </c>
      <c r="B1501" s="752" t="s">
        <v>35</v>
      </c>
      <c r="C1501" s="751" t="s">
        <v>2960</v>
      </c>
      <c r="D1501" s="752" t="s">
        <v>2982</v>
      </c>
      <c r="E1501" s="752" t="s">
        <v>2981</v>
      </c>
      <c r="F1501" s="751">
        <v>62710</v>
      </c>
      <c r="G1501" s="752" t="s">
        <v>59</v>
      </c>
      <c r="H1501" s="752" t="s">
        <v>1244</v>
      </c>
      <c r="I1501" s="752" t="s">
        <v>60</v>
      </c>
      <c r="J1501" s="751">
        <v>22</v>
      </c>
      <c r="K1501" s="751">
        <v>2</v>
      </c>
      <c r="L1501" s="752" t="s">
        <v>54</v>
      </c>
      <c r="M1501" s="752" t="s">
        <v>468</v>
      </c>
      <c r="N1501" s="752" t="s">
        <v>469</v>
      </c>
      <c r="O1501" s="752" t="s">
        <v>469</v>
      </c>
      <c r="P1501" s="752" t="s">
        <v>1238</v>
      </c>
      <c r="Q1501" s="753">
        <v>0</v>
      </c>
      <c r="R1501" s="753">
        <v>0</v>
      </c>
      <c r="S1501" s="753">
        <v>24245</v>
      </c>
      <c r="T1501" s="753">
        <v>24245</v>
      </c>
      <c r="U1501" s="753">
        <v>2723</v>
      </c>
      <c r="V1501" s="751">
        <v>2019</v>
      </c>
      <c r="W1501" s="222"/>
      <c r="X1501" s="186"/>
      <c r="Y1501" s="178" t="str">
        <f t="shared" si="76"/>
        <v/>
      </c>
      <c r="Z1501" s="178" t="str">
        <f t="shared" si="77"/>
        <v/>
      </c>
      <c r="AA1501" s="44"/>
      <c r="AB1501" s="65"/>
      <c r="AC1501" s="40"/>
    </row>
    <row r="1502" spans="1:29" hidden="1">
      <c r="A1502" s="751">
        <v>59882</v>
      </c>
      <c r="B1502" s="752" t="s">
        <v>35</v>
      </c>
      <c r="C1502" s="751" t="s">
        <v>2960</v>
      </c>
      <c r="D1502" s="752" t="s">
        <v>2983</v>
      </c>
      <c r="E1502" s="752" t="s">
        <v>624</v>
      </c>
      <c r="F1502" s="751">
        <v>6035</v>
      </c>
      <c r="G1502" s="752" t="s">
        <v>83</v>
      </c>
      <c r="H1502" s="752" t="s">
        <v>1245</v>
      </c>
      <c r="I1502" s="752" t="s">
        <v>60</v>
      </c>
      <c r="J1502" s="751">
        <v>22</v>
      </c>
      <c r="K1502" s="751">
        <v>2</v>
      </c>
      <c r="L1502" s="752" t="s">
        <v>54</v>
      </c>
      <c r="M1502" s="752" t="s">
        <v>52</v>
      </c>
      <c r="N1502" s="752" t="s">
        <v>48</v>
      </c>
      <c r="O1502" s="752" t="s">
        <v>48</v>
      </c>
      <c r="P1502" s="752" t="s">
        <v>49</v>
      </c>
      <c r="Q1502" s="753">
        <v>11490</v>
      </c>
      <c r="R1502" s="753">
        <v>11490</v>
      </c>
      <c r="S1502" s="753">
        <v>66182</v>
      </c>
      <c r="T1502" s="753">
        <v>66182</v>
      </c>
      <c r="U1502" s="753">
        <v>6418.799</v>
      </c>
      <c r="V1502" s="751">
        <v>2019</v>
      </c>
      <c r="W1502" s="222"/>
      <c r="X1502" s="186"/>
      <c r="Y1502" s="178" t="str">
        <f t="shared" si="76"/>
        <v/>
      </c>
      <c r="Z1502" s="178" t="str">
        <f t="shared" si="77"/>
        <v/>
      </c>
      <c r="AA1502" s="44"/>
      <c r="AB1502" s="65"/>
      <c r="AC1502" s="40"/>
    </row>
    <row r="1503" spans="1:29" hidden="1">
      <c r="A1503" s="751">
        <v>59882</v>
      </c>
      <c r="B1503" s="752" t="s">
        <v>35</v>
      </c>
      <c r="C1503" s="751" t="s">
        <v>2960</v>
      </c>
      <c r="D1503" s="752" t="s">
        <v>2983</v>
      </c>
      <c r="E1503" s="752" t="s">
        <v>624</v>
      </c>
      <c r="F1503" s="751">
        <v>6035</v>
      </c>
      <c r="G1503" s="752" t="s">
        <v>83</v>
      </c>
      <c r="H1503" s="752" t="s">
        <v>1245</v>
      </c>
      <c r="I1503" s="752" t="s">
        <v>60</v>
      </c>
      <c r="J1503" s="751">
        <v>22</v>
      </c>
      <c r="K1503" s="751">
        <v>2</v>
      </c>
      <c r="L1503" s="752" t="s">
        <v>54</v>
      </c>
      <c r="M1503" s="752" t="s">
        <v>52</v>
      </c>
      <c r="N1503" s="752" t="s">
        <v>41</v>
      </c>
      <c r="O1503" s="752" t="s">
        <v>41</v>
      </c>
      <c r="P1503" s="752" t="s">
        <v>1091</v>
      </c>
      <c r="Q1503" s="753">
        <v>1114910</v>
      </c>
      <c r="R1503" s="753">
        <v>1114910</v>
      </c>
      <c r="S1503" s="753">
        <v>1153931</v>
      </c>
      <c r="T1503" s="753">
        <v>1153931</v>
      </c>
      <c r="U1503" s="753">
        <v>108218.2</v>
      </c>
      <c r="V1503" s="751">
        <v>2019</v>
      </c>
      <c r="W1503" s="222"/>
      <c r="X1503" s="186"/>
      <c r="Y1503" s="178" t="str">
        <f t="shared" si="76"/>
        <v/>
      </c>
      <c r="Z1503" s="178" t="str">
        <f t="shared" si="77"/>
        <v/>
      </c>
      <c r="AA1503" s="44"/>
      <c r="AB1503" s="65"/>
      <c r="AC1503" s="40"/>
    </row>
    <row r="1504" spans="1:29" hidden="1">
      <c r="A1504" s="751">
        <v>59927</v>
      </c>
      <c r="B1504" s="752" t="s">
        <v>35</v>
      </c>
      <c r="C1504" s="751" t="s">
        <v>2960</v>
      </c>
      <c r="D1504" s="752" t="s">
        <v>2066</v>
      </c>
      <c r="E1504" s="752" t="s">
        <v>1735</v>
      </c>
      <c r="F1504" s="751">
        <v>58871</v>
      </c>
      <c r="G1504" s="752" t="s">
        <v>83</v>
      </c>
      <c r="H1504" s="752" t="s">
        <v>1245</v>
      </c>
      <c r="I1504" s="752" t="s">
        <v>60</v>
      </c>
      <c r="J1504" s="751">
        <v>22</v>
      </c>
      <c r="K1504" s="751">
        <v>2</v>
      </c>
      <c r="L1504" s="752" t="s">
        <v>54</v>
      </c>
      <c r="M1504" s="752" t="s">
        <v>468</v>
      </c>
      <c r="N1504" s="752" t="s">
        <v>469</v>
      </c>
      <c r="O1504" s="752" t="s">
        <v>469</v>
      </c>
      <c r="P1504" s="752" t="s">
        <v>1238</v>
      </c>
      <c r="Q1504" s="753">
        <v>0</v>
      </c>
      <c r="R1504" s="753">
        <v>0</v>
      </c>
      <c r="S1504" s="753">
        <v>67830</v>
      </c>
      <c r="T1504" s="753">
        <v>67830</v>
      </c>
      <c r="U1504" s="753">
        <v>7618</v>
      </c>
      <c r="V1504" s="751">
        <v>2019</v>
      </c>
      <c r="W1504" s="222"/>
      <c r="X1504" s="186"/>
      <c r="Y1504" s="178" t="str">
        <f t="shared" si="76"/>
        <v/>
      </c>
      <c r="Z1504" s="178" t="str">
        <f t="shared" si="77"/>
        <v/>
      </c>
      <c r="AA1504" s="44"/>
      <c r="AB1504" s="65"/>
      <c r="AC1504" s="40"/>
    </row>
    <row r="1505" spans="1:29" hidden="1">
      <c r="A1505" s="751">
        <v>59953</v>
      </c>
      <c r="B1505" s="752" t="s">
        <v>35</v>
      </c>
      <c r="C1505" s="751" t="s">
        <v>2960</v>
      </c>
      <c r="D1505" s="752" t="s">
        <v>2984</v>
      </c>
      <c r="E1505" s="752" t="s">
        <v>2985</v>
      </c>
      <c r="F1505" s="751">
        <v>59714</v>
      </c>
      <c r="G1505" s="752" t="s">
        <v>98</v>
      </c>
      <c r="H1505" s="752" t="s">
        <v>1245</v>
      </c>
      <c r="I1505" s="752" t="s">
        <v>60</v>
      </c>
      <c r="J1505" s="751">
        <v>22</v>
      </c>
      <c r="K1505" s="751">
        <v>2</v>
      </c>
      <c r="L1505" s="752" t="s">
        <v>54</v>
      </c>
      <c r="M1505" s="752" t="s">
        <v>73</v>
      </c>
      <c r="N1505" s="752" t="s">
        <v>74</v>
      </c>
      <c r="O1505" s="752" t="s">
        <v>74</v>
      </c>
      <c r="P1505" s="752" t="s">
        <v>1238</v>
      </c>
      <c r="Q1505" s="753">
        <v>0</v>
      </c>
      <c r="R1505" s="753">
        <v>0</v>
      </c>
      <c r="S1505" s="753">
        <v>53780</v>
      </c>
      <c r="T1505" s="753">
        <v>53780</v>
      </c>
      <c r="U1505" s="753">
        <v>6040</v>
      </c>
      <c r="V1505" s="751">
        <v>2019</v>
      </c>
      <c r="W1505" s="222"/>
      <c r="X1505" s="186"/>
      <c r="Y1505" s="178" t="str">
        <f t="shared" si="76"/>
        <v/>
      </c>
      <c r="Z1505" s="178" t="str">
        <f t="shared" si="77"/>
        <v/>
      </c>
      <c r="AA1505" s="44"/>
      <c r="AB1505" s="65"/>
      <c r="AC1505" s="40"/>
    </row>
    <row r="1506" spans="1:29" ht="25" hidden="1">
      <c r="A1506" s="751">
        <v>59967</v>
      </c>
      <c r="B1506" s="752" t="s">
        <v>56</v>
      </c>
      <c r="C1506" s="751" t="s">
        <v>2960</v>
      </c>
      <c r="D1506" s="752" t="s">
        <v>1977</v>
      </c>
      <c r="E1506" s="752" t="s">
        <v>1978</v>
      </c>
      <c r="F1506" s="751">
        <v>59724</v>
      </c>
      <c r="G1506" s="752" t="s">
        <v>43</v>
      </c>
      <c r="H1506" s="752" t="s">
        <v>1245</v>
      </c>
      <c r="I1506" s="752" t="s">
        <v>60</v>
      </c>
      <c r="J1506" s="751">
        <v>311</v>
      </c>
      <c r="K1506" s="751">
        <v>7</v>
      </c>
      <c r="L1506" s="752" t="s">
        <v>419</v>
      </c>
      <c r="M1506" s="752" t="s">
        <v>1322</v>
      </c>
      <c r="N1506" s="752" t="s">
        <v>41</v>
      </c>
      <c r="O1506" s="752" t="s">
        <v>41</v>
      </c>
      <c r="P1506" s="752" t="s">
        <v>1091</v>
      </c>
      <c r="Q1506" s="753">
        <v>155303</v>
      </c>
      <c r="R1506" s="753">
        <v>99183</v>
      </c>
      <c r="S1506" s="753">
        <v>155303</v>
      </c>
      <c r="T1506" s="753">
        <v>99183</v>
      </c>
      <c r="U1506" s="753">
        <v>17575</v>
      </c>
      <c r="V1506" s="751">
        <v>2019</v>
      </c>
      <c r="W1506" s="222"/>
      <c r="X1506" s="186"/>
      <c r="Y1506" s="178" t="str">
        <f t="shared" si="76"/>
        <v/>
      </c>
      <c r="Z1506" s="178" t="str">
        <f t="shared" si="77"/>
        <v/>
      </c>
      <c r="AA1506" s="44"/>
      <c r="AB1506" s="65"/>
      <c r="AC1506" s="40"/>
    </row>
    <row r="1507" spans="1:29" hidden="1">
      <c r="A1507" s="751">
        <v>60004</v>
      </c>
      <c r="B1507" s="752" t="s">
        <v>35</v>
      </c>
      <c r="C1507" s="751" t="s">
        <v>2960</v>
      </c>
      <c r="D1507" s="752" t="s">
        <v>1979</v>
      </c>
      <c r="E1507" s="752" t="s">
        <v>2067</v>
      </c>
      <c r="F1507" s="751">
        <v>60790</v>
      </c>
      <c r="G1507" s="752" t="s">
        <v>59</v>
      </c>
      <c r="H1507" s="752" t="s">
        <v>1244</v>
      </c>
      <c r="I1507" s="752" t="s">
        <v>60</v>
      </c>
      <c r="J1507" s="751">
        <v>22</v>
      </c>
      <c r="K1507" s="751">
        <v>2</v>
      </c>
      <c r="L1507" s="752" t="s">
        <v>54</v>
      </c>
      <c r="M1507" s="752" t="s">
        <v>468</v>
      </c>
      <c r="N1507" s="752" t="s">
        <v>469</v>
      </c>
      <c r="O1507" s="752" t="s">
        <v>469</v>
      </c>
      <c r="P1507" s="752" t="s">
        <v>1238</v>
      </c>
      <c r="Q1507" s="753">
        <v>0</v>
      </c>
      <c r="R1507" s="753">
        <v>0</v>
      </c>
      <c r="S1507" s="753">
        <v>22570</v>
      </c>
      <c r="T1507" s="753">
        <v>22570</v>
      </c>
      <c r="U1507" s="753">
        <v>2535</v>
      </c>
      <c r="V1507" s="751">
        <v>2019</v>
      </c>
      <c r="W1507" s="222"/>
      <c r="X1507" s="186">
        <f>IF(OR(K1507&gt;3,T1507=0,NOT(U1507&gt;0)),"",T1507/U1507)</f>
        <v>8.9033530571992117</v>
      </c>
      <c r="Y1507" s="178" t="str">
        <f t="shared" si="76"/>
        <v/>
      </c>
      <c r="Z1507" s="178" t="str">
        <f t="shared" si="77"/>
        <v/>
      </c>
      <c r="AA1507" s="44"/>
      <c r="AB1507" s="65"/>
      <c r="AC1507" s="40"/>
    </row>
    <row r="1508" spans="1:29" hidden="1">
      <c r="A1508" s="751">
        <v>60022</v>
      </c>
      <c r="B1508" s="752" t="s">
        <v>35</v>
      </c>
      <c r="C1508" s="751" t="s">
        <v>2960</v>
      </c>
      <c r="D1508" s="752" t="s">
        <v>1980</v>
      </c>
      <c r="E1508" s="752" t="s">
        <v>1981</v>
      </c>
      <c r="F1508" s="751">
        <v>59762</v>
      </c>
      <c r="G1508" s="752" t="s">
        <v>83</v>
      </c>
      <c r="H1508" s="752" t="s">
        <v>1245</v>
      </c>
      <c r="I1508" s="752" t="s">
        <v>60</v>
      </c>
      <c r="J1508" s="751">
        <v>22</v>
      </c>
      <c r="K1508" s="751">
        <v>2</v>
      </c>
      <c r="L1508" s="752" t="s">
        <v>54</v>
      </c>
      <c r="M1508" s="752" t="s">
        <v>468</v>
      </c>
      <c r="N1508" s="752" t="s">
        <v>469</v>
      </c>
      <c r="O1508" s="752" t="s">
        <v>469</v>
      </c>
      <c r="P1508" s="752" t="s">
        <v>1238</v>
      </c>
      <c r="Q1508" s="753">
        <v>0</v>
      </c>
      <c r="R1508" s="753">
        <v>0</v>
      </c>
      <c r="S1508" s="753">
        <v>32367</v>
      </c>
      <c r="T1508" s="753">
        <v>32367</v>
      </c>
      <c r="U1508" s="753">
        <v>3635</v>
      </c>
      <c r="V1508" s="751">
        <v>2019</v>
      </c>
      <c r="W1508" s="222"/>
      <c r="X1508" s="186"/>
      <c r="Y1508" s="178" t="str">
        <f t="shared" si="76"/>
        <v/>
      </c>
      <c r="Z1508" s="178" t="str">
        <f t="shared" si="77"/>
        <v/>
      </c>
      <c r="AA1508" s="44"/>
      <c r="AB1508" s="65"/>
      <c r="AC1508" s="40"/>
    </row>
    <row r="1509" spans="1:29">
      <c r="A1509" s="751">
        <v>60040</v>
      </c>
      <c r="B1509" s="752" t="s">
        <v>35</v>
      </c>
      <c r="C1509" s="751" t="s">
        <v>2960</v>
      </c>
      <c r="D1509" s="752" t="s">
        <v>1982</v>
      </c>
      <c r="E1509" s="752" t="s">
        <v>1983</v>
      </c>
      <c r="F1509" s="751">
        <v>19497</v>
      </c>
      <c r="G1509" s="752" t="s">
        <v>43</v>
      </c>
      <c r="H1509" s="752" t="s">
        <v>1245</v>
      </c>
      <c r="I1509" s="752" t="s">
        <v>60</v>
      </c>
      <c r="J1509" s="751">
        <v>22</v>
      </c>
      <c r="K1509" s="751">
        <v>1</v>
      </c>
      <c r="L1509" s="752" t="s">
        <v>36</v>
      </c>
      <c r="M1509" s="752" t="s">
        <v>1322</v>
      </c>
      <c r="N1509" s="752" t="s">
        <v>41</v>
      </c>
      <c r="O1509" s="752" t="s">
        <v>41</v>
      </c>
      <c r="P1509" s="752" t="s">
        <v>1091</v>
      </c>
      <c r="Q1509" s="753">
        <v>172153</v>
      </c>
      <c r="R1509" s="753">
        <v>172153</v>
      </c>
      <c r="S1509" s="753">
        <v>178006</v>
      </c>
      <c r="T1509" s="753">
        <v>178006</v>
      </c>
      <c r="U1509" s="753">
        <v>18045</v>
      </c>
      <c r="V1509" s="751">
        <v>2019</v>
      </c>
      <c r="W1509" s="222"/>
      <c r="X1509" s="186"/>
      <c r="Y1509" s="178" t="str">
        <f t="shared" si="76"/>
        <v/>
      </c>
      <c r="Z1509" s="178" t="str">
        <f t="shared" si="77"/>
        <v/>
      </c>
      <c r="AA1509" s="44"/>
      <c r="AB1509" s="65"/>
      <c r="AC1509" s="40"/>
    </row>
    <row r="1510" spans="1:29" hidden="1">
      <c r="A1510" s="751">
        <v>60045</v>
      </c>
      <c r="B1510" s="752" t="s">
        <v>35</v>
      </c>
      <c r="C1510" s="751" t="s">
        <v>2960</v>
      </c>
      <c r="D1510" s="752" t="s">
        <v>2478</v>
      </c>
      <c r="E1510" s="752" t="s">
        <v>467</v>
      </c>
      <c r="F1510" s="751">
        <v>49893</v>
      </c>
      <c r="G1510" s="752" t="s">
        <v>59</v>
      </c>
      <c r="H1510" s="752" t="s">
        <v>1244</v>
      </c>
      <c r="I1510" s="752" t="s">
        <v>60</v>
      </c>
      <c r="J1510" s="751">
        <v>22</v>
      </c>
      <c r="K1510" s="751">
        <v>2</v>
      </c>
      <c r="L1510" s="752" t="s">
        <v>54</v>
      </c>
      <c r="M1510" s="752" t="s">
        <v>468</v>
      </c>
      <c r="N1510" s="752" t="s">
        <v>469</v>
      </c>
      <c r="O1510" s="752" t="s">
        <v>469</v>
      </c>
      <c r="P1510" s="752" t="s">
        <v>1238</v>
      </c>
      <c r="Q1510" s="753">
        <v>0</v>
      </c>
      <c r="R1510" s="753">
        <v>0</v>
      </c>
      <c r="S1510" s="753">
        <v>414579</v>
      </c>
      <c r="T1510" s="753">
        <v>414579</v>
      </c>
      <c r="U1510" s="753">
        <v>46561</v>
      </c>
      <c r="V1510" s="751">
        <v>2019</v>
      </c>
      <c r="W1510" s="222"/>
      <c r="X1510" s="186"/>
      <c r="Y1510" s="178" t="str">
        <f t="shared" si="76"/>
        <v/>
      </c>
      <c r="Z1510" s="178" t="str">
        <f t="shared" si="77"/>
        <v/>
      </c>
      <c r="AA1510" s="44"/>
      <c r="AB1510" s="65"/>
      <c r="AC1510" s="40"/>
    </row>
    <row r="1511" spans="1:29">
      <c r="A1511" s="751">
        <v>60054</v>
      </c>
      <c r="B1511" s="752" t="s">
        <v>35</v>
      </c>
      <c r="C1511" s="751" t="s">
        <v>2960</v>
      </c>
      <c r="D1511" s="752" t="s">
        <v>1984</v>
      </c>
      <c r="E1511" s="752" t="s">
        <v>1983</v>
      </c>
      <c r="F1511" s="751">
        <v>19497</v>
      </c>
      <c r="G1511" s="752" t="s">
        <v>43</v>
      </c>
      <c r="H1511" s="752" t="s">
        <v>1245</v>
      </c>
      <c r="I1511" s="752" t="s">
        <v>60</v>
      </c>
      <c r="J1511" s="751">
        <v>22</v>
      </c>
      <c r="K1511" s="751">
        <v>1</v>
      </c>
      <c r="L1511" s="752" t="s">
        <v>36</v>
      </c>
      <c r="M1511" s="752" t="s">
        <v>1322</v>
      </c>
      <c r="N1511" s="752" t="s">
        <v>41</v>
      </c>
      <c r="O1511" s="752" t="s">
        <v>41</v>
      </c>
      <c r="P1511" s="752" t="s">
        <v>1091</v>
      </c>
      <c r="Q1511" s="753">
        <v>145826</v>
      </c>
      <c r="R1511" s="753">
        <v>145826</v>
      </c>
      <c r="S1511" s="753">
        <v>150784</v>
      </c>
      <c r="T1511" s="753">
        <v>150784</v>
      </c>
      <c r="U1511" s="753">
        <v>15451</v>
      </c>
      <c r="V1511" s="751">
        <v>2019</v>
      </c>
      <c r="W1511" s="222"/>
      <c r="X1511" s="186"/>
      <c r="Y1511" s="178" t="str">
        <f t="shared" si="76"/>
        <v/>
      </c>
      <c r="Z1511" s="178" t="str">
        <f t="shared" si="77"/>
        <v/>
      </c>
      <c r="AA1511" s="44"/>
      <c r="AB1511" s="65"/>
      <c r="AC1511" s="40"/>
    </row>
    <row r="1512" spans="1:29" hidden="1">
      <c r="A1512" s="751">
        <v>60054</v>
      </c>
      <c r="B1512" s="752" t="s">
        <v>35</v>
      </c>
      <c r="C1512" s="751" t="s">
        <v>2960</v>
      </c>
      <c r="D1512" s="752" t="s">
        <v>1984</v>
      </c>
      <c r="E1512" s="752" t="s">
        <v>1983</v>
      </c>
      <c r="F1512" s="751">
        <v>19497</v>
      </c>
      <c r="G1512" s="752" t="s">
        <v>43</v>
      </c>
      <c r="H1512" s="752" t="s">
        <v>1245</v>
      </c>
      <c r="I1512" s="752" t="s">
        <v>60</v>
      </c>
      <c r="J1512" s="751">
        <v>22</v>
      </c>
      <c r="K1512" s="751">
        <v>1</v>
      </c>
      <c r="L1512" s="752" t="s">
        <v>36</v>
      </c>
      <c r="M1512" s="752" t="s">
        <v>468</v>
      </c>
      <c r="N1512" s="752" t="s">
        <v>469</v>
      </c>
      <c r="O1512" s="752" t="s">
        <v>469</v>
      </c>
      <c r="P1512" s="752" t="s">
        <v>1238</v>
      </c>
      <c r="Q1512" s="753">
        <v>0</v>
      </c>
      <c r="R1512" s="753">
        <v>0</v>
      </c>
      <c r="S1512" s="753">
        <v>27843</v>
      </c>
      <c r="T1512" s="753">
        <v>27843</v>
      </c>
      <c r="U1512" s="753">
        <v>3127</v>
      </c>
      <c r="V1512" s="751">
        <v>2019</v>
      </c>
      <c r="W1512" s="222"/>
      <c r="X1512" s="186"/>
      <c r="Y1512" s="178" t="str">
        <f t="shared" si="76"/>
        <v/>
      </c>
      <c r="Z1512" s="178" t="str">
        <f t="shared" si="77"/>
        <v/>
      </c>
      <c r="AA1512" s="44"/>
      <c r="AB1512" s="65"/>
      <c r="AC1512" s="40"/>
    </row>
    <row r="1513" spans="1:29" hidden="1">
      <c r="A1513" s="751">
        <v>60056</v>
      </c>
      <c r="B1513" s="752" t="s">
        <v>35</v>
      </c>
      <c r="C1513" s="751" t="s">
        <v>2960</v>
      </c>
      <c r="D1513" s="752" t="s">
        <v>1985</v>
      </c>
      <c r="E1513" s="752" t="s">
        <v>1985</v>
      </c>
      <c r="F1513" s="751">
        <v>59785</v>
      </c>
      <c r="G1513" s="752" t="s">
        <v>83</v>
      </c>
      <c r="H1513" s="752" t="s">
        <v>1245</v>
      </c>
      <c r="I1513" s="752" t="s">
        <v>60</v>
      </c>
      <c r="J1513" s="751">
        <v>22</v>
      </c>
      <c r="K1513" s="751">
        <v>2</v>
      </c>
      <c r="L1513" s="752" t="s">
        <v>54</v>
      </c>
      <c r="M1513" s="752" t="s">
        <v>468</v>
      </c>
      <c r="N1513" s="752" t="s">
        <v>469</v>
      </c>
      <c r="O1513" s="752" t="s">
        <v>469</v>
      </c>
      <c r="P1513" s="752" t="s">
        <v>1238</v>
      </c>
      <c r="Q1513" s="753">
        <v>0</v>
      </c>
      <c r="R1513" s="753">
        <v>0</v>
      </c>
      <c r="S1513" s="753">
        <v>67456</v>
      </c>
      <c r="T1513" s="753">
        <v>67456</v>
      </c>
      <c r="U1513" s="753">
        <v>7576</v>
      </c>
      <c r="V1513" s="751">
        <v>2019</v>
      </c>
      <c r="W1513" s="222"/>
      <c r="X1513" s="186"/>
      <c r="Y1513" s="178" t="str">
        <f t="shared" si="76"/>
        <v/>
      </c>
      <c r="Z1513" s="178" t="str">
        <f t="shared" si="77"/>
        <v/>
      </c>
      <c r="AA1513" s="44"/>
      <c r="AB1513" s="65"/>
      <c r="AC1513" s="40"/>
    </row>
    <row r="1514" spans="1:29" hidden="1">
      <c r="A1514" s="751">
        <v>60065</v>
      </c>
      <c r="B1514" s="752" t="s">
        <v>35</v>
      </c>
      <c r="C1514" s="751" t="s">
        <v>2960</v>
      </c>
      <c r="D1514" s="752" t="s">
        <v>2479</v>
      </c>
      <c r="E1514" s="752" t="s">
        <v>1986</v>
      </c>
      <c r="F1514" s="751">
        <v>59804</v>
      </c>
      <c r="G1514" s="752" t="s">
        <v>83</v>
      </c>
      <c r="H1514" s="752" t="s">
        <v>1245</v>
      </c>
      <c r="I1514" s="752" t="s">
        <v>60</v>
      </c>
      <c r="J1514" s="751">
        <v>22</v>
      </c>
      <c r="K1514" s="751">
        <v>2</v>
      </c>
      <c r="L1514" s="752" t="s">
        <v>54</v>
      </c>
      <c r="M1514" s="752" t="s">
        <v>468</v>
      </c>
      <c r="N1514" s="752" t="s">
        <v>469</v>
      </c>
      <c r="O1514" s="752" t="s">
        <v>469</v>
      </c>
      <c r="P1514" s="752" t="s">
        <v>1238</v>
      </c>
      <c r="Q1514" s="753">
        <v>0</v>
      </c>
      <c r="R1514" s="753">
        <v>0</v>
      </c>
      <c r="S1514" s="753">
        <v>65301</v>
      </c>
      <c r="T1514" s="753">
        <v>65301</v>
      </c>
      <c r="U1514" s="753">
        <v>7334</v>
      </c>
      <c r="V1514" s="751">
        <v>2019</v>
      </c>
      <c r="W1514" s="222"/>
      <c r="X1514" s="186"/>
      <c r="Y1514" s="178" t="str">
        <f t="shared" si="76"/>
        <v/>
      </c>
      <c r="Z1514" s="178" t="str">
        <f t="shared" si="77"/>
        <v/>
      </c>
      <c r="AA1514" s="44"/>
      <c r="AB1514" s="65"/>
      <c r="AC1514" s="40"/>
    </row>
    <row r="1515" spans="1:29" hidden="1">
      <c r="A1515" s="751">
        <v>60067</v>
      </c>
      <c r="B1515" s="752" t="s">
        <v>35</v>
      </c>
      <c r="C1515" s="751" t="s">
        <v>2960</v>
      </c>
      <c r="D1515" s="752" t="s">
        <v>2480</v>
      </c>
      <c r="E1515" s="752" t="s">
        <v>1987</v>
      </c>
      <c r="F1515" s="751">
        <v>59805</v>
      </c>
      <c r="G1515" s="752" t="s">
        <v>83</v>
      </c>
      <c r="H1515" s="752" t="s">
        <v>1245</v>
      </c>
      <c r="I1515" s="752" t="s">
        <v>60</v>
      </c>
      <c r="J1515" s="751">
        <v>22</v>
      </c>
      <c r="K1515" s="751">
        <v>2</v>
      </c>
      <c r="L1515" s="752" t="s">
        <v>54</v>
      </c>
      <c r="M1515" s="752" t="s">
        <v>468</v>
      </c>
      <c r="N1515" s="752" t="s">
        <v>469</v>
      </c>
      <c r="O1515" s="752" t="s">
        <v>469</v>
      </c>
      <c r="P1515" s="752" t="s">
        <v>1238</v>
      </c>
      <c r="Q1515" s="753">
        <v>0</v>
      </c>
      <c r="R1515" s="753">
        <v>0</v>
      </c>
      <c r="S1515" s="753">
        <v>25991</v>
      </c>
      <c r="T1515" s="753">
        <v>25991</v>
      </c>
      <c r="U1515" s="753">
        <v>2919</v>
      </c>
      <c r="V1515" s="751">
        <v>2019</v>
      </c>
      <c r="W1515" s="222"/>
      <c r="X1515" s="186"/>
      <c r="Y1515" s="178" t="str">
        <f t="shared" si="76"/>
        <v/>
      </c>
      <c r="Z1515" s="178" t="str">
        <f t="shared" si="77"/>
        <v/>
      </c>
      <c r="AA1515" s="44"/>
      <c r="AB1515" s="65"/>
      <c r="AC1515" s="40"/>
    </row>
    <row r="1516" spans="1:29" hidden="1">
      <c r="A1516" s="751">
        <v>60073</v>
      </c>
      <c r="B1516" s="752" t="s">
        <v>35</v>
      </c>
      <c r="C1516" s="751" t="s">
        <v>2960</v>
      </c>
      <c r="D1516" s="752" t="s">
        <v>1988</v>
      </c>
      <c r="E1516" s="752" t="s">
        <v>1989</v>
      </c>
      <c r="F1516" s="751">
        <v>59822</v>
      </c>
      <c r="G1516" s="752" t="s">
        <v>83</v>
      </c>
      <c r="H1516" s="752" t="s">
        <v>1245</v>
      </c>
      <c r="I1516" s="752" t="s">
        <v>60</v>
      </c>
      <c r="J1516" s="751">
        <v>22</v>
      </c>
      <c r="K1516" s="751">
        <v>2</v>
      </c>
      <c r="L1516" s="752" t="s">
        <v>54</v>
      </c>
      <c r="M1516" s="752" t="s">
        <v>468</v>
      </c>
      <c r="N1516" s="752" t="s">
        <v>469</v>
      </c>
      <c r="O1516" s="752" t="s">
        <v>469</v>
      </c>
      <c r="P1516" s="752" t="s">
        <v>1238</v>
      </c>
      <c r="Q1516" s="753">
        <v>0</v>
      </c>
      <c r="R1516" s="753">
        <v>0</v>
      </c>
      <c r="S1516" s="753">
        <v>27611</v>
      </c>
      <c r="T1516" s="753">
        <v>27611</v>
      </c>
      <c r="U1516" s="753">
        <v>3101</v>
      </c>
      <c r="V1516" s="751">
        <v>2019</v>
      </c>
      <c r="W1516" s="222"/>
      <c r="X1516" s="186"/>
      <c r="Y1516" s="178" t="str">
        <f t="shared" si="76"/>
        <v/>
      </c>
      <c r="Z1516" s="178" t="str">
        <f t="shared" si="77"/>
        <v/>
      </c>
      <c r="AA1516" s="44"/>
      <c r="AB1516" s="65"/>
      <c r="AC1516" s="40"/>
    </row>
    <row r="1517" spans="1:29" hidden="1">
      <c r="A1517" s="751">
        <v>60074</v>
      </c>
      <c r="B1517" s="752" t="s">
        <v>35</v>
      </c>
      <c r="C1517" s="751" t="s">
        <v>2960</v>
      </c>
      <c r="D1517" s="752" t="s">
        <v>1990</v>
      </c>
      <c r="E1517" s="752" t="s">
        <v>1991</v>
      </c>
      <c r="F1517" s="751">
        <v>59823</v>
      </c>
      <c r="G1517" s="752" t="s">
        <v>83</v>
      </c>
      <c r="H1517" s="752" t="s">
        <v>1245</v>
      </c>
      <c r="I1517" s="752" t="s">
        <v>60</v>
      </c>
      <c r="J1517" s="751">
        <v>22</v>
      </c>
      <c r="K1517" s="751">
        <v>2</v>
      </c>
      <c r="L1517" s="752" t="s">
        <v>54</v>
      </c>
      <c r="M1517" s="752" t="s">
        <v>468</v>
      </c>
      <c r="N1517" s="752" t="s">
        <v>469</v>
      </c>
      <c r="O1517" s="752" t="s">
        <v>469</v>
      </c>
      <c r="P1517" s="752" t="s">
        <v>1238</v>
      </c>
      <c r="Q1517" s="753">
        <v>0</v>
      </c>
      <c r="R1517" s="753">
        <v>0</v>
      </c>
      <c r="S1517" s="753">
        <v>31494</v>
      </c>
      <c r="T1517" s="753">
        <v>31494</v>
      </c>
      <c r="U1517" s="753">
        <v>3537</v>
      </c>
      <c r="V1517" s="751">
        <v>2019</v>
      </c>
      <c r="W1517" s="222"/>
      <c r="X1517" s="186"/>
      <c r="Y1517" s="178" t="str">
        <f t="shared" si="76"/>
        <v/>
      </c>
      <c r="Z1517" s="178" t="str">
        <f t="shared" si="77"/>
        <v/>
      </c>
      <c r="AA1517" s="44"/>
      <c r="AB1517" s="65"/>
      <c r="AC1517" s="40"/>
    </row>
    <row r="1518" spans="1:29" hidden="1">
      <c r="A1518" s="751">
        <v>60075</v>
      </c>
      <c r="B1518" s="752" t="s">
        <v>35</v>
      </c>
      <c r="C1518" s="751" t="s">
        <v>2960</v>
      </c>
      <c r="D1518" s="752" t="s">
        <v>1992</v>
      </c>
      <c r="E1518" s="752" t="s">
        <v>1993</v>
      </c>
      <c r="F1518" s="751">
        <v>59824</v>
      </c>
      <c r="G1518" s="752" t="s">
        <v>83</v>
      </c>
      <c r="H1518" s="752" t="s">
        <v>1245</v>
      </c>
      <c r="I1518" s="752" t="s">
        <v>60</v>
      </c>
      <c r="J1518" s="751">
        <v>22</v>
      </c>
      <c r="K1518" s="751">
        <v>2</v>
      </c>
      <c r="L1518" s="752" t="s">
        <v>54</v>
      </c>
      <c r="M1518" s="752" t="s">
        <v>468</v>
      </c>
      <c r="N1518" s="752" t="s">
        <v>469</v>
      </c>
      <c r="O1518" s="752" t="s">
        <v>469</v>
      </c>
      <c r="P1518" s="752" t="s">
        <v>1238</v>
      </c>
      <c r="Q1518" s="753">
        <v>0</v>
      </c>
      <c r="R1518" s="753">
        <v>0</v>
      </c>
      <c r="S1518" s="753">
        <v>71331</v>
      </c>
      <c r="T1518" s="753">
        <v>71331</v>
      </c>
      <c r="U1518" s="753">
        <v>8011</v>
      </c>
      <c r="V1518" s="751">
        <v>2019</v>
      </c>
      <c r="W1518" s="222"/>
      <c r="X1518" s="186"/>
      <c r="Y1518" s="178" t="str">
        <f t="shared" si="76"/>
        <v/>
      </c>
      <c r="Z1518" s="178" t="str">
        <f t="shared" si="77"/>
        <v/>
      </c>
      <c r="AA1518" s="44"/>
      <c r="AB1518" s="65"/>
      <c r="AC1518" s="40"/>
    </row>
    <row r="1519" spans="1:29" hidden="1">
      <c r="A1519" s="751">
        <v>60076</v>
      </c>
      <c r="B1519" s="752" t="s">
        <v>35</v>
      </c>
      <c r="C1519" s="751" t="s">
        <v>2960</v>
      </c>
      <c r="D1519" s="752" t="s">
        <v>2068</v>
      </c>
      <c r="E1519" s="752" t="s">
        <v>2069</v>
      </c>
      <c r="F1519" s="751">
        <v>59826</v>
      </c>
      <c r="G1519" s="752" t="s">
        <v>83</v>
      </c>
      <c r="H1519" s="752" t="s">
        <v>1245</v>
      </c>
      <c r="I1519" s="752" t="s">
        <v>60</v>
      </c>
      <c r="J1519" s="751">
        <v>22</v>
      </c>
      <c r="K1519" s="751">
        <v>2</v>
      </c>
      <c r="L1519" s="752" t="s">
        <v>54</v>
      </c>
      <c r="M1519" s="752" t="s">
        <v>468</v>
      </c>
      <c r="N1519" s="752" t="s">
        <v>469</v>
      </c>
      <c r="O1519" s="752" t="s">
        <v>469</v>
      </c>
      <c r="P1519" s="752" t="s">
        <v>1238</v>
      </c>
      <c r="Q1519" s="753">
        <v>0</v>
      </c>
      <c r="R1519" s="753">
        <v>0</v>
      </c>
      <c r="S1519" s="753">
        <v>54815</v>
      </c>
      <c r="T1519" s="753">
        <v>54815</v>
      </c>
      <c r="U1519" s="753">
        <v>6156</v>
      </c>
      <c r="V1519" s="751">
        <v>2019</v>
      </c>
      <c r="W1519" s="222"/>
      <c r="X1519" s="186"/>
      <c r="Y1519" s="178" t="str">
        <f t="shared" si="76"/>
        <v/>
      </c>
      <c r="Z1519" s="178" t="str">
        <f t="shared" si="77"/>
        <v/>
      </c>
      <c r="AA1519" s="44"/>
      <c r="AB1519" s="65"/>
      <c r="AC1519" s="40"/>
    </row>
    <row r="1520" spans="1:29" ht="25" hidden="1">
      <c r="A1520" s="751">
        <v>60097</v>
      </c>
      <c r="B1520" s="752" t="s">
        <v>35</v>
      </c>
      <c r="C1520" s="751" t="s">
        <v>2960</v>
      </c>
      <c r="D1520" s="752" t="s">
        <v>2070</v>
      </c>
      <c r="E1520" s="752" t="s">
        <v>2040</v>
      </c>
      <c r="F1520" s="751">
        <v>60947</v>
      </c>
      <c r="G1520" s="752" t="s">
        <v>59</v>
      </c>
      <c r="H1520" s="752" t="s">
        <v>1244</v>
      </c>
      <c r="I1520" s="752" t="s">
        <v>60</v>
      </c>
      <c r="J1520" s="751">
        <v>22</v>
      </c>
      <c r="K1520" s="751">
        <v>2</v>
      </c>
      <c r="L1520" s="752" t="s">
        <v>54</v>
      </c>
      <c r="M1520" s="752" t="s">
        <v>468</v>
      </c>
      <c r="N1520" s="752" t="s">
        <v>469</v>
      </c>
      <c r="O1520" s="752" t="s">
        <v>469</v>
      </c>
      <c r="P1520" s="752" t="s">
        <v>1238</v>
      </c>
      <c r="Q1520" s="753">
        <v>0</v>
      </c>
      <c r="R1520" s="753">
        <v>0</v>
      </c>
      <c r="S1520" s="753">
        <v>8058</v>
      </c>
      <c r="T1520" s="753">
        <v>8058</v>
      </c>
      <c r="U1520" s="753">
        <v>905</v>
      </c>
      <c r="V1520" s="751">
        <v>2019</v>
      </c>
      <c r="W1520" s="222"/>
      <c r="X1520" s="186"/>
      <c r="Y1520" s="178" t="str">
        <f t="shared" si="76"/>
        <v/>
      </c>
      <c r="Z1520" s="178" t="str">
        <f t="shared" si="77"/>
        <v/>
      </c>
      <c r="AA1520" s="44"/>
      <c r="AB1520" s="65"/>
      <c r="AC1520" s="40"/>
    </row>
    <row r="1521" spans="1:29" ht="25" hidden="1">
      <c r="A1521" s="751">
        <v>60098</v>
      </c>
      <c r="B1521" s="752" t="s">
        <v>35</v>
      </c>
      <c r="C1521" s="751" t="s">
        <v>2960</v>
      </c>
      <c r="D1521" s="752" t="s">
        <v>2071</v>
      </c>
      <c r="E1521" s="752" t="s">
        <v>2040</v>
      </c>
      <c r="F1521" s="751">
        <v>60947</v>
      </c>
      <c r="G1521" s="752" t="s">
        <v>59</v>
      </c>
      <c r="H1521" s="752" t="s">
        <v>1244</v>
      </c>
      <c r="I1521" s="752" t="s">
        <v>60</v>
      </c>
      <c r="J1521" s="751">
        <v>22</v>
      </c>
      <c r="K1521" s="751">
        <v>2</v>
      </c>
      <c r="L1521" s="752" t="s">
        <v>54</v>
      </c>
      <c r="M1521" s="752" t="s">
        <v>468</v>
      </c>
      <c r="N1521" s="752" t="s">
        <v>469</v>
      </c>
      <c r="O1521" s="752" t="s">
        <v>469</v>
      </c>
      <c r="P1521" s="752" t="s">
        <v>1238</v>
      </c>
      <c r="Q1521" s="753">
        <v>0</v>
      </c>
      <c r="R1521" s="753">
        <v>0</v>
      </c>
      <c r="S1521" s="753">
        <v>21637</v>
      </c>
      <c r="T1521" s="753">
        <v>21637</v>
      </c>
      <c r="U1521" s="753">
        <v>2430</v>
      </c>
      <c r="V1521" s="751">
        <v>2019</v>
      </c>
      <c r="W1521" s="222"/>
      <c r="X1521" s="186"/>
      <c r="Y1521" s="86" t="str">
        <f t="shared" si="76"/>
        <v/>
      </c>
      <c r="Z1521" s="86" t="str">
        <f t="shared" si="77"/>
        <v/>
      </c>
      <c r="AA1521" s="44"/>
      <c r="AB1521" s="65"/>
      <c r="AC1521" s="40"/>
    </row>
    <row r="1522" spans="1:29" ht="25" hidden="1">
      <c r="A1522" s="751">
        <v>60099</v>
      </c>
      <c r="B1522" s="752" t="s">
        <v>35</v>
      </c>
      <c r="C1522" s="751" t="s">
        <v>2960</v>
      </c>
      <c r="D1522" s="752" t="s">
        <v>2072</v>
      </c>
      <c r="E1522" s="752" t="s">
        <v>2040</v>
      </c>
      <c r="F1522" s="751">
        <v>60947</v>
      </c>
      <c r="G1522" s="752" t="s">
        <v>83</v>
      </c>
      <c r="H1522" s="752" t="s">
        <v>1245</v>
      </c>
      <c r="I1522" s="752" t="s">
        <v>60</v>
      </c>
      <c r="J1522" s="751">
        <v>22</v>
      </c>
      <c r="K1522" s="751">
        <v>2</v>
      </c>
      <c r="L1522" s="752" t="s">
        <v>54</v>
      </c>
      <c r="M1522" s="752" t="s">
        <v>468</v>
      </c>
      <c r="N1522" s="752" t="s">
        <v>469</v>
      </c>
      <c r="O1522" s="752" t="s">
        <v>469</v>
      </c>
      <c r="P1522" s="752" t="s">
        <v>1238</v>
      </c>
      <c r="Q1522" s="753">
        <v>0</v>
      </c>
      <c r="R1522" s="753">
        <v>0</v>
      </c>
      <c r="S1522" s="753">
        <v>20179</v>
      </c>
      <c r="T1522" s="753">
        <v>20179</v>
      </c>
      <c r="U1522" s="753">
        <v>2266</v>
      </c>
      <c r="V1522" s="751">
        <v>2019</v>
      </c>
      <c r="W1522" s="222"/>
      <c r="X1522" s="186"/>
      <c r="Y1522" s="178" t="str">
        <f t="shared" si="76"/>
        <v/>
      </c>
      <c r="Z1522" s="178" t="str">
        <f t="shared" si="77"/>
        <v/>
      </c>
      <c r="AA1522" s="44"/>
      <c r="AB1522" s="65"/>
      <c r="AC1522" s="40"/>
    </row>
    <row r="1523" spans="1:29">
      <c r="A1523" s="751">
        <v>60109</v>
      </c>
      <c r="B1523" s="752" t="s">
        <v>35</v>
      </c>
      <c r="C1523" s="751" t="s">
        <v>2960</v>
      </c>
      <c r="D1523" s="752" t="s">
        <v>2073</v>
      </c>
      <c r="E1523" s="752" t="s">
        <v>2074</v>
      </c>
      <c r="F1523" s="751">
        <v>59885</v>
      </c>
      <c r="G1523" s="752" t="s">
        <v>43</v>
      </c>
      <c r="H1523" s="752" t="s">
        <v>1245</v>
      </c>
      <c r="I1523" s="752" t="s">
        <v>60</v>
      </c>
      <c r="J1523" s="751">
        <v>22</v>
      </c>
      <c r="K1523" s="751">
        <v>2</v>
      </c>
      <c r="L1523" s="752" t="s">
        <v>54</v>
      </c>
      <c r="M1523" s="752" t="s">
        <v>1322</v>
      </c>
      <c r="N1523" s="752" t="s">
        <v>41</v>
      </c>
      <c r="O1523" s="752" t="s">
        <v>41</v>
      </c>
      <c r="P1523" s="752" t="s">
        <v>1091</v>
      </c>
      <c r="Q1523" s="753">
        <v>148108</v>
      </c>
      <c r="R1523" s="753">
        <v>148108</v>
      </c>
      <c r="S1523" s="753">
        <v>153144</v>
      </c>
      <c r="T1523" s="753">
        <v>153144</v>
      </c>
      <c r="U1523" s="753">
        <v>19474</v>
      </c>
      <c r="V1523" s="751">
        <v>2019</v>
      </c>
      <c r="W1523" s="222"/>
      <c r="X1523" s="186"/>
      <c r="Y1523" s="178" t="str">
        <f t="shared" si="76"/>
        <v/>
      </c>
      <c r="Z1523" s="178" t="str">
        <f t="shared" si="77"/>
        <v/>
      </c>
      <c r="AA1523" s="44"/>
      <c r="AB1523" s="65"/>
      <c r="AC1523" s="40"/>
    </row>
    <row r="1524" spans="1:29" hidden="1">
      <c r="A1524" s="751">
        <v>60110</v>
      </c>
      <c r="B1524" s="752" t="s">
        <v>35</v>
      </c>
      <c r="C1524" s="751" t="s">
        <v>2960</v>
      </c>
      <c r="D1524" s="752" t="s">
        <v>2481</v>
      </c>
      <c r="E1524" s="752" t="s">
        <v>2040</v>
      </c>
      <c r="F1524" s="751">
        <v>60947</v>
      </c>
      <c r="G1524" s="752" t="s">
        <v>83</v>
      </c>
      <c r="H1524" s="752" t="s">
        <v>1245</v>
      </c>
      <c r="I1524" s="752" t="s">
        <v>60</v>
      </c>
      <c r="J1524" s="751">
        <v>22</v>
      </c>
      <c r="K1524" s="751">
        <v>2</v>
      </c>
      <c r="L1524" s="752" t="s">
        <v>54</v>
      </c>
      <c r="M1524" s="752" t="s">
        <v>468</v>
      </c>
      <c r="N1524" s="752" t="s">
        <v>469</v>
      </c>
      <c r="O1524" s="752" t="s">
        <v>469</v>
      </c>
      <c r="P1524" s="752" t="s">
        <v>1238</v>
      </c>
      <c r="Q1524" s="753">
        <v>0</v>
      </c>
      <c r="R1524" s="753">
        <v>0</v>
      </c>
      <c r="S1524" s="753">
        <v>31715</v>
      </c>
      <c r="T1524" s="753">
        <v>31715</v>
      </c>
      <c r="U1524" s="753">
        <v>3562</v>
      </c>
      <c r="V1524" s="751">
        <v>2019</v>
      </c>
      <c r="W1524" s="222"/>
      <c r="X1524" s="186"/>
      <c r="Y1524" s="178" t="str">
        <f t="shared" si="76"/>
        <v/>
      </c>
      <c r="Z1524" s="178" t="str">
        <f t="shared" si="77"/>
        <v/>
      </c>
      <c r="AA1524" s="44"/>
      <c r="AB1524" s="65"/>
      <c r="AC1524" s="40"/>
    </row>
    <row r="1525" spans="1:29" ht="25" hidden="1">
      <c r="A1525" s="751">
        <v>60111</v>
      </c>
      <c r="B1525" s="752" t="s">
        <v>35</v>
      </c>
      <c r="C1525" s="751" t="s">
        <v>2960</v>
      </c>
      <c r="D1525" s="752" t="s">
        <v>2482</v>
      </c>
      <c r="E1525" s="752" t="s">
        <v>2040</v>
      </c>
      <c r="F1525" s="751">
        <v>60947</v>
      </c>
      <c r="G1525" s="752" t="s">
        <v>83</v>
      </c>
      <c r="H1525" s="752" t="s">
        <v>1245</v>
      </c>
      <c r="I1525" s="752" t="s">
        <v>60</v>
      </c>
      <c r="J1525" s="751">
        <v>22</v>
      </c>
      <c r="K1525" s="751">
        <v>2</v>
      </c>
      <c r="L1525" s="752" t="s">
        <v>54</v>
      </c>
      <c r="M1525" s="752" t="s">
        <v>468</v>
      </c>
      <c r="N1525" s="752" t="s">
        <v>469</v>
      </c>
      <c r="O1525" s="752" t="s">
        <v>469</v>
      </c>
      <c r="P1525" s="752" t="s">
        <v>1238</v>
      </c>
      <c r="Q1525" s="753">
        <v>0</v>
      </c>
      <c r="R1525" s="753">
        <v>0</v>
      </c>
      <c r="S1525" s="753">
        <v>22963</v>
      </c>
      <c r="T1525" s="753">
        <v>22963</v>
      </c>
      <c r="U1525" s="753">
        <v>2579</v>
      </c>
      <c r="V1525" s="751">
        <v>2019</v>
      </c>
      <c r="W1525" s="222"/>
      <c r="X1525" s="186"/>
      <c r="Y1525" s="178" t="str">
        <f t="shared" si="76"/>
        <v/>
      </c>
      <c r="Z1525" s="178" t="str">
        <f t="shared" si="77"/>
        <v/>
      </c>
      <c r="AA1525" s="44"/>
      <c r="AB1525" s="65"/>
      <c r="AC1525" s="40"/>
    </row>
    <row r="1526" spans="1:29" hidden="1">
      <c r="A1526" s="751">
        <v>60114</v>
      </c>
      <c r="B1526" s="752" t="s">
        <v>35</v>
      </c>
      <c r="C1526" s="751" t="s">
        <v>2960</v>
      </c>
      <c r="D1526" s="752" t="s">
        <v>2075</v>
      </c>
      <c r="E1526" s="752" t="s">
        <v>2040</v>
      </c>
      <c r="F1526" s="751">
        <v>60947</v>
      </c>
      <c r="G1526" s="752" t="s">
        <v>59</v>
      </c>
      <c r="H1526" s="752" t="s">
        <v>1244</v>
      </c>
      <c r="I1526" s="752" t="s">
        <v>60</v>
      </c>
      <c r="J1526" s="751">
        <v>22</v>
      </c>
      <c r="K1526" s="751">
        <v>2</v>
      </c>
      <c r="L1526" s="752" t="s">
        <v>54</v>
      </c>
      <c r="M1526" s="752" t="s">
        <v>468</v>
      </c>
      <c r="N1526" s="752" t="s">
        <v>469</v>
      </c>
      <c r="O1526" s="752" t="s">
        <v>469</v>
      </c>
      <c r="P1526" s="752" t="s">
        <v>1238</v>
      </c>
      <c r="Q1526" s="753">
        <v>0</v>
      </c>
      <c r="R1526" s="753">
        <v>0</v>
      </c>
      <c r="S1526" s="753">
        <v>9110</v>
      </c>
      <c r="T1526" s="753">
        <v>9110</v>
      </c>
      <c r="U1526" s="753">
        <v>1023</v>
      </c>
      <c r="V1526" s="751">
        <v>2019</v>
      </c>
      <c r="W1526" s="222"/>
      <c r="X1526" s="186"/>
      <c r="Y1526" s="178" t="str">
        <f t="shared" si="76"/>
        <v/>
      </c>
      <c r="Z1526" s="178" t="str">
        <f t="shared" si="77"/>
        <v/>
      </c>
      <c r="AA1526" s="44"/>
      <c r="AB1526" s="65"/>
      <c r="AC1526" s="40"/>
    </row>
    <row r="1527" spans="1:29" hidden="1">
      <c r="A1527" s="751">
        <v>60115</v>
      </c>
      <c r="B1527" s="752" t="s">
        <v>35</v>
      </c>
      <c r="C1527" s="751" t="s">
        <v>2960</v>
      </c>
      <c r="D1527" s="752" t="s">
        <v>2076</v>
      </c>
      <c r="E1527" s="752" t="s">
        <v>2040</v>
      </c>
      <c r="F1527" s="751">
        <v>60947</v>
      </c>
      <c r="G1527" s="752" t="s">
        <v>59</v>
      </c>
      <c r="H1527" s="752" t="s">
        <v>1244</v>
      </c>
      <c r="I1527" s="752" t="s">
        <v>60</v>
      </c>
      <c r="J1527" s="751">
        <v>22</v>
      </c>
      <c r="K1527" s="751">
        <v>2</v>
      </c>
      <c r="L1527" s="752" t="s">
        <v>54</v>
      </c>
      <c r="M1527" s="752" t="s">
        <v>468</v>
      </c>
      <c r="N1527" s="752" t="s">
        <v>469</v>
      </c>
      <c r="O1527" s="752" t="s">
        <v>469</v>
      </c>
      <c r="P1527" s="752" t="s">
        <v>1238</v>
      </c>
      <c r="Q1527" s="753">
        <v>0</v>
      </c>
      <c r="R1527" s="753">
        <v>0</v>
      </c>
      <c r="S1527" s="753">
        <v>9055</v>
      </c>
      <c r="T1527" s="753">
        <v>9055</v>
      </c>
      <c r="U1527" s="753">
        <v>1017</v>
      </c>
      <c r="V1527" s="751">
        <v>2019</v>
      </c>
      <c r="W1527" s="222"/>
      <c r="X1527" s="186"/>
      <c r="Y1527" s="178" t="str">
        <f t="shared" si="76"/>
        <v/>
      </c>
      <c r="Z1527" s="178" t="str">
        <f t="shared" si="77"/>
        <v/>
      </c>
      <c r="AA1527" s="44"/>
      <c r="AB1527" s="65"/>
      <c r="AC1527" s="40"/>
    </row>
    <row r="1528" spans="1:29" hidden="1">
      <c r="A1528" s="751">
        <v>60116</v>
      </c>
      <c r="B1528" s="752" t="s">
        <v>35</v>
      </c>
      <c r="C1528" s="751" t="s">
        <v>2960</v>
      </c>
      <c r="D1528" s="752" t="s">
        <v>2077</v>
      </c>
      <c r="E1528" s="752" t="s">
        <v>2040</v>
      </c>
      <c r="F1528" s="751">
        <v>60947</v>
      </c>
      <c r="G1528" s="752" t="s">
        <v>83</v>
      </c>
      <c r="H1528" s="752" t="s">
        <v>1245</v>
      </c>
      <c r="I1528" s="752" t="s">
        <v>60</v>
      </c>
      <c r="J1528" s="751">
        <v>22</v>
      </c>
      <c r="K1528" s="751">
        <v>2</v>
      </c>
      <c r="L1528" s="752" t="s">
        <v>54</v>
      </c>
      <c r="M1528" s="752" t="s">
        <v>468</v>
      </c>
      <c r="N1528" s="752" t="s">
        <v>469</v>
      </c>
      <c r="O1528" s="752" t="s">
        <v>469</v>
      </c>
      <c r="P1528" s="752" t="s">
        <v>1238</v>
      </c>
      <c r="Q1528" s="753">
        <v>0</v>
      </c>
      <c r="R1528" s="753">
        <v>0</v>
      </c>
      <c r="S1528" s="753">
        <v>8459</v>
      </c>
      <c r="T1528" s="753">
        <v>8459</v>
      </c>
      <c r="U1528" s="753">
        <v>950</v>
      </c>
      <c r="V1528" s="751">
        <v>2019</v>
      </c>
      <c r="W1528" s="222"/>
      <c r="X1528" s="186"/>
      <c r="Y1528" s="178" t="str">
        <f t="shared" si="76"/>
        <v/>
      </c>
      <c r="Z1528" s="178" t="str">
        <f t="shared" si="77"/>
        <v/>
      </c>
      <c r="AA1528" s="44"/>
      <c r="AB1528" s="65"/>
      <c r="AC1528" s="40"/>
    </row>
    <row r="1529" spans="1:29" hidden="1">
      <c r="A1529" s="751">
        <v>60150</v>
      </c>
      <c r="B1529" s="752" t="s">
        <v>35</v>
      </c>
      <c r="C1529" s="751" t="s">
        <v>2960</v>
      </c>
      <c r="D1529" s="752" t="s">
        <v>1994</v>
      </c>
      <c r="E1529" s="752" t="s">
        <v>1995</v>
      </c>
      <c r="F1529" s="751">
        <v>59942</v>
      </c>
      <c r="G1529" s="752" t="s">
        <v>59</v>
      </c>
      <c r="H1529" s="752" t="s">
        <v>1244</v>
      </c>
      <c r="I1529" s="752" t="s">
        <v>60</v>
      </c>
      <c r="J1529" s="751">
        <v>22</v>
      </c>
      <c r="K1529" s="751">
        <v>2</v>
      </c>
      <c r="L1529" s="752" t="s">
        <v>54</v>
      </c>
      <c r="M1529" s="752" t="s">
        <v>468</v>
      </c>
      <c r="N1529" s="752" t="s">
        <v>469</v>
      </c>
      <c r="O1529" s="752" t="s">
        <v>469</v>
      </c>
      <c r="P1529" s="752" t="s">
        <v>1238</v>
      </c>
      <c r="Q1529" s="753">
        <v>0</v>
      </c>
      <c r="R1529" s="753">
        <v>0</v>
      </c>
      <c r="S1529" s="753">
        <v>27442</v>
      </c>
      <c r="T1529" s="753">
        <v>27442</v>
      </c>
      <c r="U1529" s="753">
        <v>3082</v>
      </c>
      <c r="V1529" s="751">
        <v>2019</v>
      </c>
      <c r="W1529" s="222"/>
      <c r="X1529" s="186"/>
      <c r="Y1529" s="178" t="str">
        <f t="shared" si="76"/>
        <v/>
      </c>
      <c r="Z1529" s="178" t="str">
        <f t="shared" si="77"/>
        <v/>
      </c>
      <c r="AA1529" s="44"/>
      <c r="AB1529" s="65"/>
      <c r="AC1529" s="40"/>
    </row>
    <row r="1530" spans="1:29" hidden="1">
      <c r="A1530" s="751">
        <v>60225</v>
      </c>
      <c r="B1530" s="752" t="s">
        <v>35</v>
      </c>
      <c r="C1530" s="751" t="s">
        <v>2960</v>
      </c>
      <c r="D1530" s="752" t="s">
        <v>2078</v>
      </c>
      <c r="E1530" s="752" t="s">
        <v>2040</v>
      </c>
      <c r="F1530" s="751">
        <v>60947</v>
      </c>
      <c r="G1530" s="752" t="s">
        <v>43</v>
      </c>
      <c r="H1530" s="752" t="s">
        <v>1245</v>
      </c>
      <c r="I1530" s="752" t="s">
        <v>60</v>
      </c>
      <c r="J1530" s="751">
        <v>22</v>
      </c>
      <c r="K1530" s="751">
        <v>2</v>
      </c>
      <c r="L1530" s="752" t="s">
        <v>54</v>
      </c>
      <c r="M1530" s="752" t="s">
        <v>468</v>
      </c>
      <c r="N1530" s="752" t="s">
        <v>469</v>
      </c>
      <c r="O1530" s="752" t="s">
        <v>469</v>
      </c>
      <c r="P1530" s="752" t="s">
        <v>1238</v>
      </c>
      <c r="Q1530" s="753">
        <v>0</v>
      </c>
      <c r="R1530" s="753">
        <v>0</v>
      </c>
      <c r="S1530" s="753">
        <v>21254</v>
      </c>
      <c r="T1530" s="753">
        <v>21254</v>
      </c>
      <c r="U1530" s="753">
        <v>2387</v>
      </c>
      <c r="V1530" s="751">
        <v>2019</v>
      </c>
      <c r="W1530" s="222"/>
      <c r="X1530" s="186"/>
      <c r="Y1530" s="178" t="str">
        <f t="shared" si="76"/>
        <v/>
      </c>
      <c r="Z1530" s="178" t="str">
        <f t="shared" si="77"/>
        <v/>
      </c>
      <c r="AA1530" s="44"/>
      <c r="AB1530" s="65"/>
      <c r="AC1530" s="40"/>
    </row>
    <row r="1531" spans="1:29" hidden="1">
      <c r="A1531" s="751">
        <v>60228</v>
      </c>
      <c r="B1531" s="752" t="s">
        <v>35</v>
      </c>
      <c r="C1531" s="751" t="s">
        <v>2960</v>
      </c>
      <c r="D1531" s="752" t="s">
        <v>2079</v>
      </c>
      <c r="E1531" s="752" t="s">
        <v>2040</v>
      </c>
      <c r="F1531" s="751">
        <v>60947</v>
      </c>
      <c r="G1531" s="752" t="s">
        <v>43</v>
      </c>
      <c r="H1531" s="752" t="s">
        <v>1245</v>
      </c>
      <c r="I1531" s="752" t="s">
        <v>60</v>
      </c>
      <c r="J1531" s="751">
        <v>22</v>
      </c>
      <c r="K1531" s="751">
        <v>2</v>
      </c>
      <c r="L1531" s="752" t="s">
        <v>54</v>
      </c>
      <c r="M1531" s="752" t="s">
        <v>468</v>
      </c>
      <c r="N1531" s="752" t="s">
        <v>469</v>
      </c>
      <c r="O1531" s="752" t="s">
        <v>469</v>
      </c>
      <c r="P1531" s="752" t="s">
        <v>1238</v>
      </c>
      <c r="Q1531" s="753">
        <v>0</v>
      </c>
      <c r="R1531" s="753">
        <v>0</v>
      </c>
      <c r="S1531" s="753">
        <v>9742</v>
      </c>
      <c r="T1531" s="753">
        <v>9742</v>
      </c>
      <c r="U1531" s="753">
        <v>1094</v>
      </c>
      <c r="V1531" s="751">
        <v>2019</v>
      </c>
      <c r="W1531" s="222"/>
      <c r="X1531" s="186"/>
      <c r="Y1531" s="178" t="str">
        <f t="shared" si="76"/>
        <v/>
      </c>
      <c r="Z1531" s="178" t="str">
        <f t="shared" si="77"/>
        <v/>
      </c>
      <c r="AA1531" s="44"/>
      <c r="AB1531" s="65"/>
      <c r="AC1531" s="40"/>
    </row>
    <row r="1532" spans="1:29" hidden="1">
      <c r="A1532" s="751">
        <v>60229</v>
      </c>
      <c r="B1532" s="752" t="s">
        <v>35</v>
      </c>
      <c r="C1532" s="751" t="s">
        <v>2960</v>
      </c>
      <c r="D1532" s="752" t="s">
        <v>2080</v>
      </c>
      <c r="E1532" s="752" t="s">
        <v>2040</v>
      </c>
      <c r="F1532" s="751">
        <v>60947</v>
      </c>
      <c r="G1532" s="752" t="s">
        <v>59</v>
      </c>
      <c r="H1532" s="752" t="s">
        <v>1244</v>
      </c>
      <c r="I1532" s="752" t="s">
        <v>60</v>
      </c>
      <c r="J1532" s="751">
        <v>22</v>
      </c>
      <c r="K1532" s="751">
        <v>2</v>
      </c>
      <c r="L1532" s="752" t="s">
        <v>54</v>
      </c>
      <c r="M1532" s="752" t="s">
        <v>468</v>
      </c>
      <c r="N1532" s="752" t="s">
        <v>469</v>
      </c>
      <c r="O1532" s="752" t="s">
        <v>469</v>
      </c>
      <c r="P1532" s="752" t="s">
        <v>1238</v>
      </c>
      <c r="Q1532" s="753">
        <v>0</v>
      </c>
      <c r="R1532" s="753">
        <v>0</v>
      </c>
      <c r="S1532" s="753">
        <v>19678</v>
      </c>
      <c r="T1532" s="753">
        <v>19678</v>
      </c>
      <c r="U1532" s="753">
        <v>2210</v>
      </c>
      <c r="V1532" s="751">
        <v>2019</v>
      </c>
      <c r="W1532" s="222"/>
      <c r="X1532" s="186"/>
      <c r="Y1532" s="178" t="str">
        <f t="shared" si="76"/>
        <v/>
      </c>
      <c r="Z1532" s="178" t="str">
        <f t="shared" si="77"/>
        <v/>
      </c>
      <c r="AA1532" s="44"/>
      <c r="AB1532" s="65"/>
      <c r="AC1532" s="40"/>
    </row>
    <row r="1533" spans="1:29" hidden="1">
      <c r="A1533" s="751">
        <v>60232</v>
      </c>
      <c r="B1533" s="752" t="s">
        <v>35</v>
      </c>
      <c r="C1533" s="751" t="s">
        <v>2960</v>
      </c>
      <c r="D1533" s="752" t="s">
        <v>2081</v>
      </c>
      <c r="E1533" s="752" t="s">
        <v>2040</v>
      </c>
      <c r="F1533" s="751">
        <v>60947</v>
      </c>
      <c r="G1533" s="752" t="s">
        <v>59</v>
      </c>
      <c r="H1533" s="752" t="s">
        <v>1244</v>
      </c>
      <c r="I1533" s="752" t="s">
        <v>60</v>
      </c>
      <c r="J1533" s="751">
        <v>22</v>
      </c>
      <c r="K1533" s="751">
        <v>2</v>
      </c>
      <c r="L1533" s="752" t="s">
        <v>54</v>
      </c>
      <c r="M1533" s="752" t="s">
        <v>468</v>
      </c>
      <c r="N1533" s="752" t="s">
        <v>469</v>
      </c>
      <c r="O1533" s="752" t="s">
        <v>469</v>
      </c>
      <c r="P1533" s="752" t="s">
        <v>1238</v>
      </c>
      <c r="Q1533" s="753">
        <v>0</v>
      </c>
      <c r="R1533" s="753">
        <v>0</v>
      </c>
      <c r="S1533" s="753">
        <v>16793</v>
      </c>
      <c r="T1533" s="753">
        <v>16793</v>
      </c>
      <c r="U1533" s="753">
        <v>1886</v>
      </c>
      <c r="V1533" s="751">
        <v>2019</v>
      </c>
      <c r="W1533" s="222"/>
      <c r="X1533" s="186"/>
      <c r="Y1533" s="178" t="str">
        <f t="shared" si="76"/>
        <v/>
      </c>
      <c r="Z1533" s="178" t="str">
        <f t="shared" si="77"/>
        <v/>
      </c>
      <c r="AA1533" s="44"/>
      <c r="AB1533" s="65"/>
      <c r="AC1533" s="40"/>
    </row>
    <row r="1534" spans="1:29" ht="25" hidden="1">
      <c r="A1534" s="751">
        <v>60274</v>
      </c>
      <c r="B1534" s="752" t="s">
        <v>35</v>
      </c>
      <c r="C1534" s="751" t="s">
        <v>2960</v>
      </c>
      <c r="D1534" s="752" t="s">
        <v>2082</v>
      </c>
      <c r="E1534" s="752" t="s">
        <v>1189</v>
      </c>
      <c r="F1534" s="751">
        <v>56769</v>
      </c>
      <c r="G1534" s="752" t="s">
        <v>83</v>
      </c>
      <c r="H1534" s="752" t="s">
        <v>1245</v>
      </c>
      <c r="I1534" s="752" t="s">
        <v>60</v>
      </c>
      <c r="J1534" s="751">
        <v>22</v>
      </c>
      <c r="K1534" s="751">
        <v>2</v>
      </c>
      <c r="L1534" s="752" t="s">
        <v>54</v>
      </c>
      <c r="M1534" s="752" t="s">
        <v>468</v>
      </c>
      <c r="N1534" s="752" t="s">
        <v>469</v>
      </c>
      <c r="O1534" s="752" t="s">
        <v>469</v>
      </c>
      <c r="P1534" s="752" t="s">
        <v>1238</v>
      </c>
      <c r="Q1534" s="753">
        <v>0</v>
      </c>
      <c r="R1534" s="753">
        <v>0</v>
      </c>
      <c r="S1534" s="753">
        <v>28930</v>
      </c>
      <c r="T1534" s="753">
        <v>28930</v>
      </c>
      <c r="U1534" s="753">
        <v>3249</v>
      </c>
      <c r="V1534" s="751">
        <v>2019</v>
      </c>
      <c r="W1534" s="222"/>
      <c r="X1534" s="186"/>
      <c r="Y1534" s="178" t="str">
        <f t="shared" si="76"/>
        <v/>
      </c>
      <c r="Z1534" s="178" t="str">
        <f t="shared" si="77"/>
        <v/>
      </c>
      <c r="AA1534" s="44"/>
      <c r="AB1534" s="65"/>
      <c r="AC1534" s="40"/>
    </row>
    <row r="1535" spans="1:29" ht="25" hidden="1">
      <c r="A1535" s="751">
        <v>60276</v>
      </c>
      <c r="B1535" s="752" t="s">
        <v>56</v>
      </c>
      <c r="C1535" s="751" t="s">
        <v>2960</v>
      </c>
      <c r="D1535" s="752" t="s">
        <v>1996</v>
      </c>
      <c r="E1535" s="752" t="s">
        <v>2483</v>
      </c>
      <c r="F1535" s="751">
        <v>60058</v>
      </c>
      <c r="G1535" s="752" t="s">
        <v>83</v>
      </c>
      <c r="H1535" s="752" t="s">
        <v>1245</v>
      </c>
      <c r="I1535" s="752" t="s">
        <v>60</v>
      </c>
      <c r="J1535" s="751">
        <v>322</v>
      </c>
      <c r="K1535" s="751">
        <v>7</v>
      </c>
      <c r="L1535" s="752" t="s">
        <v>419</v>
      </c>
      <c r="M1535" s="752" t="s">
        <v>52</v>
      </c>
      <c r="N1535" s="752" t="s">
        <v>41</v>
      </c>
      <c r="O1535" s="752" t="s">
        <v>41</v>
      </c>
      <c r="P1535" s="752" t="s">
        <v>1091</v>
      </c>
      <c r="Q1535" s="753">
        <v>390308</v>
      </c>
      <c r="R1535" s="753">
        <v>109446</v>
      </c>
      <c r="S1535" s="753">
        <v>402017</v>
      </c>
      <c r="T1535" s="753">
        <v>112731</v>
      </c>
      <c r="U1535" s="753">
        <v>21988</v>
      </c>
      <c r="V1535" s="751">
        <v>2019</v>
      </c>
      <c r="W1535" s="222"/>
      <c r="X1535" s="186"/>
      <c r="Y1535" s="178">
        <f t="shared" si="76"/>
        <v>8.4645707422904071</v>
      </c>
      <c r="Z1535" s="178" t="str">
        <f t="shared" si="77"/>
        <v/>
      </c>
      <c r="AA1535" s="44"/>
      <c r="AB1535" s="65"/>
      <c r="AC1535" s="40"/>
    </row>
    <row r="1536" spans="1:29" hidden="1">
      <c r="A1536" s="751">
        <v>60278</v>
      </c>
      <c r="B1536" s="752" t="s">
        <v>35</v>
      </c>
      <c r="C1536" s="751" t="s">
        <v>2960</v>
      </c>
      <c r="D1536" s="752" t="s">
        <v>2083</v>
      </c>
      <c r="E1536" s="752" t="s">
        <v>1957</v>
      </c>
      <c r="F1536" s="751">
        <v>58661</v>
      </c>
      <c r="G1536" s="752" t="s">
        <v>83</v>
      </c>
      <c r="H1536" s="752" t="s">
        <v>1245</v>
      </c>
      <c r="I1536" s="752" t="s">
        <v>60</v>
      </c>
      <c r="J1536" s="751">
        <v>22</v>
      </c>
      <c r="K1536" s="751">
        <v>2</v>
      </c>
      <c r="L1536" s="752" t="s">
        <v>54</v>
      </c>
      <c r="M1536" s="752" t="s">
        <v>468</v>
      </c>
      <c r="N1536" s="752" t="s">
        <v>469</v>
      </c>
      <c r="O1536" s="752" t="s">
        <v>469</v>
      </c>
      <c r="P1536" s="752" t="s">
        <v>1238</v>
      </c>
      <c r="Q1536" s="753">
        <v>0</v>
      </c>
      <c r="R1536" s="753">
        <v>0</v>
      </c>
      <c r="S1536" s="753">
        <v>26391</v>
      </c>
      <c r="T1536" s="753">
        <v>26391</v>
      </c>
      <c r="U1536" s="753">
        <v>2964</v>
      </c>
      <c r="V1536" s="751">
        <v>2019</v>
      </c>
      <c r="W1536" s="222"/>
      <c r="X1536" s="186"/>
      <c r="Y1536" s="178" t="str">
        <f t="shared" si="76"/>
        <v/>
      </c>
      <c r="Z1536" s="178" t="str">
        <f t="shared" si="77"/>
        <v/>
      </c>
      <c r="AA1536" s="44"/>
      <c r="AB1536" s="65"/>
      <c r="AC1536" s="40"/>
    </row>
    <row r="1537" spans="1:29" hidden="1">
      <c r="A1537" s="751">
        <v>60344</v>
      </c>
      <c r="B1537" s="752" t="s">
        <v>35</v>
      </c>
      <c r="C1537" s="751" t="s">
        <v>2960</v>
      </c>
      <c r="D1537" s="752" t="s">
        <v>2084</v>
      </c>
      <c r="E1537" s="752" t="s">
        <v>2085</v>
      </c>
      <c r="F1537" s="751">
        <v>58135</v>
      </c>
      <c r="G1537" s="752" t="s">
        <v>91</v>
      </c>
      <c r="H1537" s="752" t="s">
        <v>1245</v>
      </c>
      <c r="I1537" s="752" t="s">
        <v>60</v>
      </c>
      <c r="J1537" s="751">
        <v>22</v>
      </c>
      <c r="K1537" s="751">
        <v>2</v>
      </c>
      <c r="L1537" s="752" t="s">
        <v>54</v>
      </c>
      <c r="M1537" s="752" t="s">
        <v>468</v>
      </c>
      <c r="N1537" s="752" t="s">
        <v>469</v>
      </c>
      <c r="O1537" s="752" t="s">
        <v>469</v>
      </c>
      <c r="P1537" s="752" t="s">
        <v>1238</v>
      </c>
      <c r="Q1537" s="753">
        <v>0</v>
      </c>
      <c r="R1537" s="753">
        <v>0</v>
      </c>
      <c r="S1537" s="753">
        <v>28635</v>
      </c>
      <c r="T1537" s="753">
        <v>28635</v>
      </c>
      <c r="U1537" s="753">
        <v>3216</v>
      </c>
      <c r="V1537" s="751">
        <v>2019</v>
      </c>
      <c r="W1537" s="222"/>
      <c r="X1537" s="186"/>
      <c r="Y1537" s="178" t="str">
        <f t="shared" si="76"/>
        <v/>
      </c>
      <c r="Z1537" s="178" t="str">
        <f t="shared" si="77"/>
        <v/>
      </c>
      <c r="AA1537" s="44"/>
      <c r="AB1537" s="65"/>
      <c r="AC1537" s="40"/>
    </row>
    <row r="1538" spans="1:29" hidden="1">
      <c r="A1538" s="751">
        <v>60365</v>
      </c>
      <c r="B1538" s="752" t="s">
        <v>35</v>
      </c>
      <c r="C1538" s="751" t="s">
        <v>2960</v>
      </c>
      <c r="D1538" s="752" t="s">
        <v>1997</v>
      </c>
      <c r="E1538" s="752" t="s">
        <v>1998</v>
      </c>
      <c r="F1538" s="751">
        <v>60163</v>
      </c>
      <c r="G1538" s="752" t="s">
        <v>59</v>
      </c>
      <c r="H1538" s="752" t="s">
        <v>1244</v>
      </c>
      <c r="I1538" s="752" t="s">
        <v>60</v>
      </c>
      <c r="J1538" s="751">
        <v>22</v>
      </c>
      <c r="K1538" s="751">
        <v>2</v>
      </c>
      <c r="L1538" s="752" t="s">
        <v>54</v>
      </c>
      <c r="M1538" s="752" t="s">
        <v>468</v>
      </c>
      <c r="N1538" s="752" t="s">
        <v>469</v>
      </c>
      <c r="O1538" s="752" t="s">
        <v>469</v>
      </c>
      <c r="P1538" s="752" t="s">
        <v>1238</v>
      </c>
      <c r="Q1538" s="753">
        <v>0</v>
      </c>
      <c r="R1538" s="753">
        <v>0</v>
      </c>
      <c r="S1538" s="753">
        <v>18786</v>
      </c>
      <c r="T1538" s="753">
        <v>18786</v>
      </c>
      <c r="U1538" s="753">
        <v>2110</v>
      </c>
      <c r="V1538" s="751">
        <v>2019</v>
      </c>
      <c r="W1538" s="222"/>
      <c r="X1538" s="186"/>
      <c r="Y1538" s="178" t="str">
        <f t="shared" si="76"/>
        <v/>
      </c>
      <c r="Z1538" s="178" t="str">
        <f t="shared" si="77"/>
        <v/>
      </c>
      <c r="AA1538" s="44"/>
      <c r="AB1538" s="65"/>
      <c r="AC1538" s="40"/>
    </row>
    <row r="1539" spans="1:29" ht="25" hidden="1">
      <c r="A1539" s="751">
        <v>60391</v>
      </c>
      <c r="B1539" s="752" t="s">
        <v>35</v>
      </c>
      <c r="C1539" s="751" t="s">
        <v>2960</v>
      </c>
      <c r="D1539" s="752" t="s">
        <v>2484</v>
      </c>
      <c r="E1539" s="752" t="s">
        <v>2086</v>
      </c>
      <c r="F1539" s="751">
        <v>60189</v>
      </c>
      <c r="G1539" s="752" t="s">
        <v>83</v>
      </c>
      <c r="H1539" s="752" t="s">
        <v>1245</v>
      </c>
      <c r="I1539" s="752" t="s">
        <v>1216</v>
      </c>
      <c r="J1539" s="751">
        <v>22</v>
      </c>
      <c r="K1539" s="751">
        <v>2</v>
      </c>
      <c r="L1539" s="752" t="s">
        <v>54</v>
      </c>
      <c r="M1539" s="752" t="s">
        <v>468</v>
      </c>
      <c r="N1539" s="752" t="s">
        <v>469</v>
      </c>
      <c r="O1539" s="752" t="s">
        <v>469</v>
      </c>
      <c r="P1539" s="752" t="s">
        <v>1238</v>
      </c>
      <c r="Q1539" s="753">
        <v>0</v>
      </c>
      <c r="R1539" s="753">
        <v>0</v>
      </c>
      <c r="S1539" s="753">
        <v>208121</v>
      </c>
      <c r="T1539" s="753">
        <v>208121</v>
      </c>
      <c r="U1539" s="753">
        <v>23374</v>
      </c>
      <c r="V1539" s="751">
        <v>2019</v>
      </c>
      <c r="W1539" s="222"/>
      <c r="X1539" s="186"/>
      <c r="Y1539" s="178" t="str">
        <f t="shared" si="76"/>
        <v/>
      </c>
      <c r="Z1539" s="178" t="str">
        <f t="shared" si="77"/>
        <v/>
      </c>
      <c r="AA1539" s="44"/>
      <c r="AB1539" s="65"/>
      <c r="AC1539" s="40"/>
    </row>
    <row r="1540" spans="1:29">
      <c r="A1540" s="751">
        <v>60392</v>
      </c>
      <c r="B1540" s="752" t="s">
        <v>56</v>
      </c>
      <c r="C1540" s="751" t="s">
        <v>2960</v>
      </c>
      <c r="D1540" s="752" t="s">
        <v>2087</v>
      </c>
      <c r="E1540" s="752" t="s">
        <v>2485</v>
      </c>
      <c r="F1540" s="751">
        <v>62093</v>
      </c>
      <c r="G1540" s="752" t="s">
        <v>43</v>
      </c>
      <c r="H1540" s="752" t="s">
        <v>1245</v>
      </c>
      <c r="I1540" s="752" t="s">
        <v>60</v>
      </c>
      <c r="J1540" s="751">
        <v>22</v>
      </c>
      <c r="K1540" s="751">
        <v>3</v>
      </c>
      <c r="L1540" s="752" t="s">
        <v>57</v>
      </c>
      <c r="M1540" s="752" t="s">
        <v>1322</v>
      </c>
      <c r="N1540" s="752" t="s">
        <v>41</v>
      </c>
      <c r="O1540" s="752" t="s">
        <v>41</v>
      </c>
      <c r="P1540" s="752" t="s">
        <v>1091</v>
      </c>
      <c r="Q1540" s="753">
        <v>373173</v>
      </c>
      <c r="R1540" s="753">
        <v>373173</v>
      </c>
      <c r="S1540" s="753">
        <v>383248</v>
      </c>
      <c r="T1540" s="753">
        <v>383248</v>
      </c>
      <c r="U1540" s="753">
        <v>41620</v>
      </c>
      <c r="V1540" s="751">
        <v>2019</v>
      </c>
      <c r="W1540" s="222"/>
      <c r="X1540" s="186"/>
      <c r="Y1540" s="178" t="str">
        <f t="shared" si="76"/>
        <v/>
      </c>
      <c r="Z1540" s="178" t="str">
        <f t="shared" si="77"/>
        <v/>
      </c>
      <c r="AA1540" s="44"/>
      <c r="AB1540" s="65"/>
      <c r="AC1540" s="40"/>
    </row>
    <row r="1541" spans="1:29" hidden="1">
      <c r="A1541" s="751">
        <v>60404</v>
      </c>
      <c r="B1541" s="752" t="s">
        <v>35</v>
      </c>
      <c r="C1541" s="751" t="s">
        <v>2960</v>
      </c>
      <c r="D1541" s="752" t="s">
        <v>2088</v>
      </c>
      <c r="E1541" s="752" t="s">
        <v>2089</v>
      </c>
      <c r="F1541" s="751">
        <v>60207</v>
      </c>
      <c r="G1541" s="752" t="s">
        <v>92</v>
      </c>
      <c r="H1541" s="752" t="s">
        <v>1245</v>
      </c>
      <c r="I1541" s="752" t="s">
        <v>60</v>
      </c>
      <c r="J1541" s="751">
        <v>22</v>
      </c>
      <c r="K1541" s="751">
        <v>2</v>
      </c>
      <c r="L1541" s="752" t="s">
        <v>54</v>
      </c>
      <c r="M1541" s="752" t="s">
        <v>73</v>
      </c>
      <c r="N1541" s="752" t="s">
        <v>74</v>
      </c>
      <c r="O1541" s="752" t="s">
        <v>74</v>
      </c>
      <c r="P1541" s="752" t="s">
        <v>1238</v>
      </c>
      <c r="Q1541" s="753">
        <v>0</v>
      </c>
      <c r="R1541" s="753">
        <v>0</v>
      </c>
      <c r="S1541" s="753">
        <v>276753</v>
      </c>
      <c r="T1541" s="753">
        <v>276753</v>
      </c>
      <c r="U1541" s="753">
        <v>31082</v>
      </c>
      <c r="V1541" s="751">
        <v>2019</v>
      </c>
      <c r="W1541" s="222"/>
      <c r="X1541" s="186"/>
      <c r="Y1541" s="178" t="str">
        <f t="shared" si="76"/>
        <v/>
      </c>
      <c r="Z1541" s="178" t="str">
        <f t="shared" si="77"/>
        <v/>
      </c>
      <c r="AA1541" s="44"/>
      <c r="AB1541" s="65"/>
      <c r="AC1541" s="40"/>
    </row>
    <row r="1542" spans="1:29" hidden="1">
      <c r="A1542" s="751">
        <v>60411</v>
      </c>
      <c r="B1542" s="752" t="s">
        <v>35</v>
      </c>
      <c r="C1542" s="751" t="s">
        <v>2960</v>
      </c>
      <c r="D1542" s="752" t="s">
        <v>1999</v>
      </c>
      <c r="E1542" s="752" t="s">
        <v>1998</v>
      </c>
      <c r="F1542" s="751">
        <v>60163</v>
      </c>
      <c r="G1542" s="752" t="s">
        <v>91</v>
      </c>
      <c r="H1542" s="752" t="s">
        <v>1245</v>
      </c>
      <c r="I1542" s="752" t="s">
        <v>60</v>
      </c>
      <c r="J1542" s="751">
        <v>22</v>
      </c>
      <c r="K1542" s="751">
        <v>2</v>
      </c>
      <c r="L1542" s="752" t="s">
        <v>54</v>
      </c>
      <c r="M1542" s="752" t="s">
        <v>468</v>
      </c>
      <c r="N1542" s="752" t="s">
        <v>469</v>
      </c>
      <c r="O1542" s="752" t="s">
        <v>469</v>
      </c>
      <c r="P1542" s="752" t="s">
        <v>1238</v>
      </c>
      <c r="Q1542" s="753">
        <v>0</v>
      </c>
      <c r="R1542" s="753">
        <v>0</v>
      </c>
      <c r="S1542" s="753">
        <v>23017</v>
      </c>
      <c r="T1542" s="753">
        <v>23017</v>
      </c>
      <c r="U1542" s="753">
        <v>2585</v>
      </c>
      <c r="V1542" s="751">
        <v>2019</v>
      </c>
      <c r="W1542" s="222"/>
      <c r="X1542" s="186"/>
      <c r="Y1542" s="178" t="str">
        <f t="shared" si="76"/>
        <v/>
      </c>
      <c r="Z1542" s="178" t="str">
        <f t="shared" si="77"/>
        <v/>
      </c>
      <c r="AA1542" s="44"/>
      <c r="AB1542" s="65"/>
      <c r="AC1542" s="40"/>
    </row>
    <row r="1543" spans="1:29" hidden="1">
      <c r="A1543" s="751">
        <v>60423</v>
      </c>
      <c r="B1543" s="752" t="s">
        <v>35</v>
      </c>
      <c r="C1543" s="751" t="s">
        <v>2960</v>
      </c>
      <c r="D1543" s="752" t="s">
        <v>2267</v>
      </c>
      <c r="E1543" s="752" t="s">
        <v>2495</v>
      </c>
      <c r="F1543" s="751">
        <v>61944</v>
      </c>
      <c r="G1543" s="752" t="s">
        <v>83</v>
      </c>
      <c r="H1543" s="752" t="s">
        <v>1245</v>
      </c>
      <c r="I1543" s="752" t="s">
        <v>60</v>
      </c>
      <c r="J1543" s="751">
        <v>22</v>
      </c>
      <c r="K1543" s="751">
        <v>2</v>
      </c>
      <c r="L1543" s="752" t="s">
        <v>54</v>
      </c>
      <c r="M1543" s="752" t="s">
        <v>468</v>
      </c>
      <c r="N1543" s="752" t="s">
        <v>469</v>
      </c>
      <c r="O1543" s="752" t="s">
        <v>469</v>
      </c>
      <c r="P1543" s="752" t="s">
        <v>1238</v>
      </c>
      <c r="Q1543" s="753">
        <v>0</v>
      </c>
      <c r="R1543" s="753">
        <v>0</v>
      </c>
      <c r="S1543" s="753">
        <v>26044</v>
      </c>
      <c r="T1543" s="753">
        <v>26044</v>
      </c>
      <c r="U1543" s="753">
        <v>2925</v>
      </c>
      <c r="V1543" s="751">
        <v>2019</v>
      </c>
      <c r="W1543" s="222"/>
      <c r="X1543" s="186"/>
      <c r="Y1543" s="178" t="str">
        <f t="shared" ref="Y1543:Y1606" si="78">IF(AND($M1543=$Y$2,$N1543=$Y$3,NOT($Q1543=$R1543),NOT($U1543=0)),IF($K1543=5,$S1543/($U1543+(8/5)*$U1543),IF($K1543=7,$S1543/($U1543+(29/25)*$U1543),"")),"")</f>
        <v/>
      </c>
      <c r="Z1543" s="178" t="str">
        <f t="shared" ref="Z1543:Z1606" si="79">IF(AND($M1543=$Y$2,$N1543=$Y$4,NOT($Q1543=$R1543),NOT($U1543=0)),IF($K1543=5,$S1543/($U1543+(8/5)*$U1543),IF($K1543=7,$S1543/($U1543+(29/25)*$U1543),"")),"")</f>
        <v/>
      </c>
      <c r="AA1543" s="44"/>
      <c r="AB1543" s="65"/>
      <c r="AC1543" s="40"/>
    </row>
    <row r="1544" spans="1:29" hidden="1">
      <c r="A1544" s="751">
        <v>60424</v>
      </c>
      <c r="B1544" s="752" t="s">
        <v>35</v>
      </c>
      <c r="C1544" s="751" t="s">
        <v>2960</v>
      </c>
      <c r="D1544" s="752" t="s">
        <v>2268</v>
      </c>
      <c r="E1544" s="752" t="s">
        <v>2495</v>
      </c>
      <c r="F1544" s="751">
        <v>61944</v>
      </c>
      <c r="G1544" s="752" t="s">
        <v>83</v>
      </c>
      <c r="H1544" s="752" t="s">
        <v>1245</v>
      </c>
      <c r="I1544" s="752" t="s">
        <v>60</v>
      </c>
      <c r="J1544" s="751">
        <v>22</v>
      </c>
      <c r="K1544" s="751">
        <v>2</v>
      </c>
      <c r="L1544" s="752" t="s">
        <v>54</v>
      </c>
      <c r="M1544" s="752" t="s">
        <v>468</v>
      </c>
      <c r="N1544" s="752" t="s">
        <v>469</v>
      </c>
      <c r="O1544" s="752" t="s">
        <v>469</v>
      </c>
      <c r="P1544" s="752" t="s">
        <v>1238</v>
      </c>
      <c r="Q1544" s="753">
        <v>0</v>
      </c>
      <c r="R1544" s="753">
        <v>0</v>
      </c>
      <c r="S1544" s="753">
        <v>20033</v>
      </c>
      <c r="T1544" s="753">
        <v>20033</v>
      </c>
      <c r="U1544" s="753">
        <v>2250</v>
      </c>
      <c r="V1544" s="751">
        <v>2019</v>
      </c>
      <c r="W1544" s="222"/>
      <c r="X1544" s="186"/>
      <c r="Y1544" s="178" t="str">
        <f t="shared" si="78"/>
        <v/>
      </c>
      <c r="Z1544" s="178" t="str">
        <f t="shared" si="79"/>
        <v/>
      </c>
      <c r="AA1544" s="44"/>
      <c r="AB1544" s="65"/>
      <c r="AC1544" s="40"/>
    </row>
    <row r="1545" spans="1:29" hidden="1">
      <c r="A1545" s="751">
        <v>60425</v>
      </c>
      <c r="B1545" s="752" t="s">
        <v>35</v>
      </c>
      <c r="C1545" s="751" t="s">
        <v>2960</v>
      </c>
      <c r="D1545" s="752" t="s">
        <v>2000</v>
      </c>
      <c r="E1545" s="752" t="s">
        <v>2977</v>
      </c>
      <c r="F1545" s="751">
        <v>63249</v>
      </c>
      <c r="G1545" s="752" t="s">
        <v>59</v>
      </c>
      <c r="H1545" s="752" t="s">
        <v>1244</v>
      </c>
      <c r="I1545" s="752" t="s">
        <v>60</v>
      </c>
      <c r="J1545" s="751">
        <v>22</v>
      </c>
      <c r="K1545" s="751">
        <v>2</v>
      </c>
      <c r="L1545" s="752" t="s">
        <v>54</v>
      </c>
      <c r="M1545" s="752" t="s">
        <v>468</v>
      </c>
      <c r="N1545" s="752" t="s">
        <v>469</v>
      </c>
      <c r="O1545" s="752" t="s">
        <v>469</v>
      </c>
      <c r="P1545" s="752" t="s">
        <v>1238</v>
      </c>
      <c r="Q1545" s="753">
        <v>0</v>
      </c>
      <c r="R1545" s="753">
        <v>0</v>
      </c>
      <c r="S1545" s="753">
        <v>21370</v>
      </c>
      <c r="T1545" s="753">
        <v>21370</v>
      </c>
      <c r="U1545" s="753">
        <v>2400</v>
      </c>
      <c r="V1545" s="751">
        <v>2019</v>
      </c>
      <c r="W1545" s="222"/>
      <c r="X1545" s="186"/>
      <c r="Y1545" s="178" t="str">
        <f t="shared" si="78"/>
        <v/>
      </c>
      <c r="Z1545" s="178" t="str">
        <f t="shared" si="79"/>
        <v/>
      </c>
      <c r="AA1545" s="44"/>
      <c r="AB1545" s="65"/>
      <c r="AC1545" s="40"/>
    </row>
    <row r="1546" spans="1:29" ht="25" hidden="1">
      <c r="A1546" s="751">
        <v>60431</v>
      </c>
      <c r="B1546" s="752" t="s">
        <v>35</v>
      </c>
      <c r="C1546" s="751" t="s">
        <v>2960</v>
      </c>
      <c r="D1546" s="752" t="s">
        <v>2090</v>
      </c>
      <c r="E1546" s="752" t="s">
        <v>2091</v>
      </c>
      <c r="F1546" s="751">
        <v>60231</v>
      </c>
      <c r="G1546" s="752" t="s">
        <v>59</v>
      </c>
      <c r="H1546" s="752" t="s">
        <v>1244</v>
      </c>
      <c r="I1546" s="752" t="s">
        <v>60</v>
      </c>
      <c r="J1546" s="751">
        <v>22</v>
      </c>
      <c r="K1546" s="751">
        <v>2</v>
      </c>
      <c r="L1546" s="752" t="s">
        <v>54</v>
      </c>
      <c r="M1546" s="752" t="s">
        <v>468</v>
      </c>
      <c r="N1546" s="752" t="s">
        <v>469</v>
      </c>
      <c r="O1546" s="752" t="s">
        <v>469</v>
      </c>
      <c r="P1546" s="752" t="s">
        <v>1238</v>
      </c>
      <c r="Q1546" s="753">
        <v>0</v>
      </c>
      <c r="R1546" s="753">
        <v>0</v>
      </c>
      <c r="S1546" s="753">
        <v>23844</v>
      </c>
      <c r="T1546" s="753">
        <v>23844</v>
      </c>
      <c r="U1546" s="753">
        <v>2678</v>
      </c>
      <c r="V1546" s="751">
        <v>2019</v>
      </c>
      <c r="W1546" s="222"/>
      <c r="X1546" s="186"/>
      <c r="Y1546" s="178" t="str">
        <f t="shared" si="78"/>
        <v/>
      </c>
      <c r="Z1546" s="178" t="str">
        <f t="shared" si="79"/>
        <v/>
      </c>
      <c r="AA1546" s="44"/>
      <c r="AB1546" s="65"/>
      <c r="AC1546" s="40"/>
    </row>
    <row r="1547" spans="1:29" hidden="1">
      <c r="A1547" s="751">
        <v>60442</v>
      </c>
      <c r="B1547" s="752" t="s">
        <v>35</v>
      </c>
      <c r="C1547" s="751" t="s">
        <v>2960</v>
      </c>
      <c r="D1547" s="752" t="s">
        <v>2486</v>
      </c>
      <c r="E1547" s="752" t="s">
        <v>2487</v>
      </c>
      <c r="F1547" s="751">
        <v>62836</v>
      </c>
      <c r="G1547" s="752" t="s">
        <v>83</v>
      </c>
      <c r="H1547" s="752" t="s">
        <v>1245</v>
      </c>
      <c r="I1547" s="752" t="s">
        <v>60</v>
      </c>
      <c r="J1547" s="751">
        <v>22</v>
      </c>
      <c r="K1547" s="751">
        <v>2</v>
      </c>
      <c r="L1547" s="752" t="s">
        <v>54</v>
      </c>
      <c r="M1547" s="752" t="s">
        <v>468</v>
      </c>
      <c r="N1547" s="752" t="s">
        <v>469</v>
      </c>
      <c r="O1547" s="752" t="s">
        <v>469</v>
      </c>
      <c r="P1547" s="752" t="s">
        <v>1238</v>
      </c>
      <c r="Q1547" s="753">
        <v>0</v>
      </c>
      <c r="R1547" s="753">
        <v>0</v>
      </c>
      <c r="S1547" s="753">
        <v>21120</v>
      </c>
      <c r="T1547" s="753">
        <v>21120</v>
      </c>
      <c r="U1547" s="753">
        <v>2372</v>
      </c>
      <c r="V1547" s="751">
        <v>2019</v>
      </c>
      <c r="W1547" s="222"/>
      <c r="X1547" s="186"/>
      <c r="Y1547" s="178" t="str">
        <f t="shared" si="78"/>
        <v/>
      </c>
      <c r="Z1547" s="178" t="str">
        <f t="shared" si="79"/>
        <v/>
      </c>
      <c r="AA1547" s="44"/>
      <c r="AB1547" s="65"/>
      <c r="AC1547" s="40"/>
    </row>
    <row r="1548" spans="1:29" hidden="1">
      <c r="A1548" s="751">
        <v>60443</v>
      </c>
      <c r="B1548" s="752" t="s">
        <v>35</v>
      </c>
      <c r="C1548" s="751" t="s">
        <v>2960</v>
      </c>
      <c r="D1548" s="752" t="s">
        <v>2488</v>
      </c>
      <c r="E1548" s="752" t="s">
        <v>2487</v>
      </c>
      <c r="F1548" s="751">
        <v>62836</v>
      </c>
      <c r="G1548" s="752" t="s">
        <v>83</v>
      </c>
      <c r="H1548" s="752" t="s">
        <v>1245</v>
      </c>
      <c r="I1548" s="752" t="s">
        <v>60</v>
      </c>
      <c r="J1548" s="751">
        <v>22</v>
      </c>
      <c r="K1548" s="751">
        <v>2</v>
      </c>
      <c r="L1548" s="752" t="s">
        <v>54</v>
      </c>
      <c r="M1548" s="752" t="s">
        <v>468</v>
      </c>
      <c r="N1548" s="752" t="s">
        <v>469</v>
      </c>
      <c r="O1548" s="752" t="s">
        <v>469</v>
      </c>
      <c r="P1548" s="752" t="s">
        <v>1238</v>
      </c>
      <c r="Q1548" s="753">
        <v>0</v>
      </c>
      <c r="R1548" s="753">
        <v>0</v>
      </c>
      <c r="S1548" s="753">
        <v>10399</v>
      </c>
      <c r="T1548" s="753">
        <v>10399</v>
      </c>
      <c r="U1548" s="753">
        <v>1168</v>
      </c>
      <c r="V1548" s="751">
        <v>2019</v>
      </c>
      <c r="W1548" s="222"/>
      <c r="X1548" s="186"/>
      <c r="Y1548" s="178" t="str">
        <f t="shared" si="78"/>
        <v/>
      </c>
      <c r="Z1548" s="178" t="str">
        <f t="shared" si="79"/>
        <v/>
      </c>
      <c r="AA1548" s="44"/>
      <c r="AB1548" s="65"/>
      <c r="AC1548" s="40"/>
    </row>
    <row r="1549" spans="1:29" hidden="1">
      <c r="A1549" s="751">
        <v>60451</v>
      </c>
      <c r="B1549" s="752" t="s">
        <v>35</v>
      </c>
      <c r="C1549" s="751" t="s">
        <v>2960</v>
      </c>
      <c r="D1549" s="752" t="s">
        <v>2092</v>
      </c>
      <c r="E1549" s="752" t="s">
        <v>2977</v>
      </c>
      <c r="F1549" s="751">
        <v>63249</v>
      </c>
      <c r="G1549" s="752" t="s">
        <v>136</v>
      </c>
      <c r="H1549" s="752" t="s">
        <v>1245</v>
      </c>
      <c r="I1549" s="752" t="s">
        <v>60</v>
      </c>
      <c r="J1549" s="751">
        <v>22</v>
      </c>
      <c r="K1549" s="751">
        <v>2</v>
      </c>
      <c r="L1549" s="752" t="s">
        <v>54</v>
      </c>
      <c r="M1549" s="752" t="s">
        <v>468</v>
      </c>
      <c r="N1549" s="752" t="s">
        <v>469</v>
      </c>
      <c r="O1549" s="752" t="s">
        <v>469</v>
      </c>
      <c r="P1549" s="752" t="s">
        <v>1238</v>
      </c>
      <c r="Q1549" s="753">
        <v>0</v>
      </c>
      <c r="R1549" s="753">
        <v>0</v>
      </c>
      <c r="S1549" s="753">
        <v>12475</v>
      </c>
      <c r="T1549" s="753">
        <v>12475</v>
      </c>
      <c r="U1549" s="753">
        <v>1401</v>
      </c>
      <c r="V1549" s="751">
        <v>2019</v>
      </c>
      <c r="W1549" s="222"/>
      <c r="X1549" s="186"/>
      <c r="Y1549" s="86" t="str">
        <f t="shared" si="78"/>
        <v/>
      </c>
      <c r="Z1549" s="86" t="str">
        <f t="shared" si="79"/>
        <v/>
      </c>
      <c r="AA1549" s="44"/>
      <c r="AB1549" s="65"/>
      <c r="AC1549" s="40"/>
    </row>
    <row r="1550" spans="1:29" hidden="1">
      <c r="A1550" s="751">
        <v>60452</v>
      </c>
      <c r="B1550" s="752" t="s">
        <v>35</v>
      </c>
      <c r="C1550" s="751" t="s">
        <v>2960</v>
      </c>
      <c r="D1550" s="752" t="s">
        <v>2093</v>
      </c>
      <c r="E1550" s="752" t="s">
        <v>2977</v>
      </c>
      <c r="F1550" s="751">
        <v>63249</v>
      </c>
      <c r="G1550" s="752" t="s">
        <v>59</v>
      </c>
      <c r="H1550" s="752" t="s">
        <v>1244</v>
      </c>
      <c r="I1550" s="752" t="s">
        <v>60</v>
      </c>
      <c r="J1550" s="751">
        <v>22</v>
      </c>
      <c r="K1550" s="751">
        <v>2</v>
      </c>
      <c r="L1550" s="752" t="s">
        <v>54</v>
      </c>
      <c r="M1550" s="752" t="s">
        <v>468</v>
      </c>
      <c r="N1550" s="752" t="s">
        <v>469</v>
      </c>
      <c r="O1550" s="752" t="s">
        <v>469</v>
      </c>
      <c r="P1550" s="752" t="s">
        <v>1238</v>
      </c>
      <c r="Q1550" s="753">
        <v>0</v>
      </c>
      <c r="R1550" s="753">
        <v>0</v>
      </c>
      <c r="S1550" s="753">
        <v>23373</v>
      </c>
      <c r="T1550" s="753">
        <v>23373</v>
      </c>
      <c r="U1550" s="753">
        <v>2625</v>
      </c>
      <c r="V1550" s="751">
        <v>2019</v>
      </c>
      <c r="W1550" s="222"/>
      <c r="X1550" s="186"/>
      <c r="Y1550" s="86" t="str">
        <f t="shared" si="78"/>
        <v/>
      </c>
      <c r="Z1550" s="86" t="str">
        <f t="shared" si="79"/>
        <v/>
      </c>
      <c r="AA1550" s="44"/>
      <c r="AB1550" s="65"/>
      <c r="AC1550" s="40"/>
    </row>
    <row r="1551" spans="1:29" hidden="1">
      <c r="A1551" s="751">
        <v>60453</v>
      </c>
      <c r="B1551" s="752" t="s">
        <v>35</v>
      </c>
      <c r="C1551" s="751" t="s">
        <v>2960</v>
      </c>
      <c r="D1551" s="752" t="s">
        <v>2094</v>
      </c>
      <c r="E1551" s="752" t="s">
        <v>2977</v>
      </c>
      <c r="F1551" s="751">
        <v>63249</v>
      </c>
      <c r="G1551" s="752" t="s">
        <v>59</v>
      </c>
      <c r="H1551" s="752" t="s">
        <v>1244</v>
      </c>
      <c r="I1551" s="752" t="s">
        <v>60</v>
      </c>
      <c r="J1551" s="751">
        <v>22</v>
      </c>
      <c r="K1551" s="751">
        <v>2</v>
      </c>
      <c r="L1551" s="752" t="s">
        <v>54</v>
      </c>
      <c r="M1551" s="752" t="s">
        <v>468</v>
      </c>
      <c r="N1551" s="752" t="s">
        <v>469</v>
      </c>
      <c r="O1551" s="752" t="s">
        <v>469</v>
      </c>
      <c r="P1551" s="752" t="s">
        <v>1238</v>
      </c>
      <c r="Q1551" s="753">
        <v>0</v>
      </c>
      <c r="R1551" s="753">
        <v>0</v>
      </c>
      <c r="S1551" s="753">
        <v>16455</v>
      </c>
      <c r="T1551" s="753">
        <v>16455</v>
      </c>
      <c r="U1551" s="753">
        <v>1848</v>
      </c>
      <c r="V1551" s="751">
        <v>2019</v>
      </c>
      <c r="W1551" s="222"/>
      <c r="X1551" s="186"/>
      <c r="Y1551" s="178" t="str">
        <f t="shared" si="78"/>
        <v/>
      </c>
      <c r="Z1551" s="178" t="str">
        <f t="shared" si="79"/>
        <v/>
      </c>
      <c r="AA1551" s="44"/>
      <c r="AB1551" s="65"/>
      <c r="AC1551" s="40"/>
    </row>
    <row r="1552" spans="1:29" hidden="1">
      <c r="A1552" s="751">
        <v>60454</v>
      </c>
      <c r="B1552" s="752" t="s">
        <v>35</v>
      </c>
      <c r="C1552" s="751" t="s">
        <v>2960</v>
      </c>
      <c r="D1552" s="752" t="s">
        <v>2095</v>
      </c>
      <c r="E1552" s="752" t="s">
        <v>2977</v>
      </c>
      <c r="F1552" s="751">
        <v>63249</v>
      </c>
      <c r="G1552" s="752" t="s">
        <v>59</v>
      </c>
      <c r="H1552" s="752" t="s">
        <v>1244</v>
      </c>
      <c r="I1552" s="752" t="s">
        <v>60</v>
      </c>
      <c r="J1552" s="751">
        <v>22</v>
      </c>
      <c r="K1552" s="751">
        <v>2</v>
      </c>
      <c r="L1552" s="752" t="s">
        <v>54</v>
      </c>
      <c r="M1552" s="752" t="s">
        <v>468</v>
      </c>
      <c r="N1552" s="752" t="s">
        <v>469</v>
      </c>
      <c r="O1552" s="752" t="s">
        <v>469</v>
      </c>
      <c r="P1552" s="752" t="s">
        <v>1238</v>
      </c>
      <c r="Q1552" s="753">
        <v>0</v>
      </c>
      <c r="R1552" s="753">
        <v>0</v>
      </c>
      <c r="S1552" s="753">
        <v>25644</v>
      </c>
      <c r="T1552" s="753">
        <v>25644</v>
      </c>
      <c r="U1552" s="753">
        <v>2880</v>
      </c>
      <c r="V1552" s="751">
        <v>2019</v>
      </c>
      <c r="W1552" s="222"/>
      <c r="X1552" s="186"/>
      <c r="Y1552" s="178" t="str">
        <f t="shared" si="78"/>
        <v/>
      </c>
      <c r="Z1552" s="178" t="str">
        <f t="shared" si="79"/>
        <v/>
      </c>
      <c r="AA1552" s="44"/>
      <c r="AB1552" s="65"/>
      <c r="AC1552" s="40"/>
    </row>
    <row r="1553" spans="1:29" hidden="1">
      <c r="A1553" s="751">
        <v>60455</v>
      </c>
      <c r="B1553" s="752" t="s">
        <v>35</v>
      </c>
      <c r="C1553" s="751" t="s">
        <v>2960</v>
      </c>
      <c r="D1553" s="752" t="s">
        <v>2096</v>
      </c>
      <c r="E1553" s="752" t="s">
        <v>2097</v>
      </c>
      <c r="F1553" s="751">
        <v>60239</v>
      </c>
      <c r="G1553" s="752" t="s">
        <v>59</v>
      </c>
      <c r="H1553" s="752" t="s">
        <v>1244</v>
      </c>
      <c r="I1553" s="752" t="s">
        <v>60</v>
      </c>
      <c r="J1553" s="751">
        <v>22</v>
      </c>
      <c r="K1553" s="751">
        <v>2</v>
      </c>
      <c r="L1553" s="752" t="s">
        <v>54</v>
      </c>
      <c r="M1553" s="752" t="s">
        <v>468</v>
      </c>
      <c r="N1553" s="752" t="s">
        <v>469</v>
      </c>
      <c r="O1553" s="752" t="s">
        <v>469</v>
      </c>
      <c r="P1553" s="752" t="s">
        <v>1238</v>
      </c>
      <c r="Q1553" s="753">
        <v>0</v>
      </c>
      <c r="R1553" s="753">
        <v>0</v>
      </c>
      <c r="S1553" s="753">
        <v>23844</v>
      </c>
      <c r="T1553" s="753">
        <v>23844</v>
      </c>
      <c r="U1553" s="753">
        <v>2678</v>
      </c>
      <c r="V1553" s="751">
        <v>2019</v>
      </c>
      <c r="W1553" s="222"/>
      <c r="X1553" s="186"/>
      <c r="Y1553" s="178" t="str">
        <f t="shared" si="78"/>
        <v/>
      </c>
      <c r="Z1553" s="178" t="str">
        <f t="shared" si="79"/>
        <v/>
      </c>
      <c r="AA1553" s="44"/>
      <c r="AB1553" s="65"/>
      <c r="AC1553" s="40"/>
    </row>
    <row r="1554" spans="1:29" hidden="1">
      <c r="A1554" s="751">
        <v>60456</v>
      </c>
      <c r="B1554" s="752" t="s">
        <v>35</v>
      </c>
      <c r="C1554" s="751" t="s">
        <v>2960</v>
      </c>
      <c r="D1554" s="752" t="s">
        <v>2098</v>
      </c>
      <c r="E1554" s="752" t="s">
        <v>2097</v>
      </c>
      <c r="F1554" s="751">
        <v>60239</v>
      </c>
      <c r="G1554" s="752" t="s">
        <v>59</v>
      </c>
      <c r="H1554" s="752" t="s">
        <v>1244</v>
      </c>
      <c r="I1554" s="752" t="s">
        <v>60</v>
      </c>
      <c r="J1554" s="751">
        <v>22</v>
      </c>
      <c r="K1554" s="751">
        <v>2</v>
      </c>
      <c r="L1554" s="752" t="s">
        <v>54</v>
      </c>
      <c r="M1554" s="752" t="s">
        <v>468</v>
      </c>
      <c r="N1554" s="752" t="s">
        <v>469</v>
      </c>
      <c r="O1554" s="752" t="s">
        <v>469</v>
      </c>
      <c r="P1554" s="752" t="s">
        <v>1238</v>
      </c>
      <c r="Q1554" s="753">
        <v>0</v>
      </c>
      <c r="R1554" s="753">
        <v>0</v>
      </c>
      <c r="S1554" s="753">
        <v>22768</v>
      </c>
      <c r="T1554" s="753">
        <v>22768</v>
      </c>
      <c r="U1554" s="753">
        <v>2557</v>
      </c>
      <c r="V1554" s="751">
        <v>2019</v>
      </c>
      <c r="W1554" s="222"/>
      <c r="X1554" s="186"/>
      <c r="Y1554" s="178" t="str">
        <f t="shared" si="78"/>
        <v/>
      </c>
      <c r="Z1554" s="178" t="str">
        <f t="shared" si="79"/>
        <v/>
      </c>
      <c r="AA1554" s="44"/>
      <c r="AB1554" s="65"/>
      <c r="AC1554" s="40"/>
    </row>
    <row r="1555" spans="1:29" ht="25" hidden="1">
      <c r="A1555" s="751">
        <v>60457</v>
      </c>
      <c r="B1555" s="752" t="s">
        <v>35</v>
      </c>
      <c r="C1555" s="751" t="s">
        <v>2960</v>
      </c>
      <c r="D1555" s="752" t="s">
        <v>2099</v>
      </c>
      <c r="E1555" s="752" t="s">
        <v>2100</v>
      </c>
      <c r="F1555" s="751">
        <v>60242</v>
      </c>
      <c r="G1555" s="752" t="s">
        <v>92</v>
      </c>
      <c r="H1555" s="752" t="s">
        <v>1245</v>
      </c>
      <c r="I1555" s="752" t="s">
        <v>60</v>
      </c>
      <c r="J1555" s="751">
        <v>22</v>
      </c>
      <c r="K1555" s="751">
        <v>2</v>
      </c>
      <c r="L1555" s="752" t="s">
        <v>54</v>
      </c>
      <c r="M1555" s="752" t="s">
        <v>2101</v>
      </c>
      <c r="N1555" s="752" t="s">
        <v>71</v>
      </c>
      <c r="O1555" s="752" t="s">
        <v>72</v>
      </c>
      <c r="P1555" s="752" t="s">
        <v>47</v>
      </c>
      <c r="Q1555" s="753">
        <v>117186</v>
      </c>
      <c r="R1555" s="753">
        <v>117186</v>
      </c>
      <c r="S1555" s="753">
        <v>996085</v>
      </c>
      <c r="T1555" s="753">
        <v>996085</v>
      </c>
      <c r="U1555" s="753">
        <v>58928</v>
      </c>
      <c r="V1555" s="751">
        <v>2019</v>
      </c>
      <c r="W1555" s="222"/>
      <c r="X1555" s="186"/>
      <c r="Y1555" s="178" t="str">
        <f t="shared" si="78"/>
        <v/>
      </c>
      <c r="Z1555" s="178" t="str">
        <f t="shared" si="79"/>
        <v/>
      </c>
      <c r="AA1555" s="44"/>
      <c r="AB1555" s="65"/>
      <c r="AC1555" s="40"/>
    </row>
    <row r="1556" spans="1:29" hidden="1">
      <c r="A1556" s="751">
        <v>60458</v>
      </c>
      <c r="B1556" s="752" t="s">
        <v>35</v>
      </c>
      <c r="C1556" s="751" t="s">
        <v>2960</v>
      </c>
      <c r="D1556" s="752" t="s">
        <v>2102</v>
      </c>
      <c r="E1556" s="752" t="s">
        <v>2103</v>
      </c>
      <c r="F1556" s="751">
        <v>60240</v>
      </c>
      <c r="G1556" s="752" t="s">
        <v>83</v>
      </c>
      <c r="H1556" s="752" t="s">
        <v>1245</v>
      </c>
      <c r="I1556" s="752" t="s">
        <v>60</v>
      </c>
      <c r="J1556" s="751">
        <v>22</v>
      </c>
      <c r="K1556" s="751">
        <v>2</v>
      </c>
      <c r="L1556" s="752" t="s">
        <v>54</v>
      </c>
      <c r="M1556" s="752" t="s">
        <v>468</v>
      </c>
      <c r="N1556" s="752" t="s">
        <v>469</v>
      </c>
      <c r="O1556" s="752" t="s">
        <v>469</v>
      </c>
      <c r="P1556" s="752" t="s">
        <v>1238</v>
      </c>
      <c r="Q1556" s="753">
        <v>0</v>
      </c>
      <c r="R1556" s="753">
        <v>0</v>
      </c>
      <c r="S1556" s="753">
        <v>22963</v>
      </c>
      <c r="T1556" s="753">
        <v>22963</v>
      </c>
      <c r="U1556" s="753">
        <v>2579</v>
      </c>
      <c r="V1556" s="751">
        <v>2019</v>
      </c>
      <c r="W1556" s="222"/>
      <c r="X1556" s="186"/>
      <c r="Y1556" s="178" t="str">
        <f t="shared" si="78"/>
        <v/>
      </c>
      <c r="Z1556" s="178" t="str">
        <f t="shared" si="79"/>
        <v/>
      </c>
      <c r="AA1556" s="44"/>
      <c r="AB1556" s="65"/>
      <c r="AC1556" s="40"/>
    </row>
    <row r="1557" spans="1:29" hidden="1">
      <c r="A1557" s="751">
        <v>60462</v>
      </c>
      <c r="B1557" s="752" t="s">
        <v>35</v>
      </c>
      <c r="C1557" s="751" t="s">
        <v>2960</v>
      </c>
      <c r="D1557" s="752" t="s">
        <v>2269</v>
      </c>
      <c r="E1557" s="752" t="s">
        <v>2040</v>
      </c>
      <c r="F1557" s="751">
        <v>60947</v>
      </c>
      <c r="G1557" s="752" t="s">
        <v>59</v>
      </c>
      <c r="H1557" s="752" t="s">
        <v>1244</v>
      </c>
      <c r="I1557" s="752" t="s">
        <v>60</v>
      </c>
      <c r="J1557" s="751">
        <v>22</v>
      </c>
      <c r="K1557" s="751">
        <v>2</v>
      </c>
      <c r="L1557" s="752" t="s">
        <v>54</v>
      </c>
      <c r="M1557" s="752" t="s">
        <v>468</v>
      </c>
      <c r="N1557" s="752" t="s">
        <v>469</v>
      </c>
      <c r="O1557" s="752" t="s">
        <v>469</v>
      </c>
      <c r="P1557" s="752" t="s">
        <v>1238</v>
      </c>
      <c r="Q1557" s="753">
        <v>0</v>
      </c>
      <c r="R1557" s="753">
        <v>0</v>
      </c>
      <c r="S1557" s="753">
        <v>22910</v>
      </c>
      <c r="T1557" s="753">
        <v>22910</v>
      </c>
      <c r="U1557" s="753">
        <v>2573</v>
      </c>
      <c r="V1557" s="751">
        <v>2019</v>
      </c>
      <c r="W1557" s="222"/>
      <c r="X1557" s="186"/>
      <c r="Y1557" s="178" t="str">
        <f t="shared" si="78"/>
        <v/>
      </c>
      <c r="Z1557" s="178" t="str">
        <f t="shared" si="79"/>
        <v/>
      </c>
      <c r="AA1557" s="44"/>
      <c r="AB1557" s="65"/>
      <c r="AC1557" s="40"/>
    </row>
    <row r="1558" spans="1:29" hidden="1">
      <c r="A1558" s="751">
        <v>60463</v>
      </c>
      <c r="B1558" s="752" t="s">
        <v>35</v>
      </c>
      <c r="C1558" s="751" t="s">
        <v>2960</v>
      </c>
      <c r="D1558" s="752" t="s">
        <v>2104</v>
      </c>
      <c r="E1558" s="752" t="s">
        <v>2040</v>
      </c>
      <c r="F1558" s="751">
        <v>60947</v>
      </c>
      <c r="G1558" s="752" t="s">
        <v>59</v>
      </c>
      <c r="H1558" s="752" t="s">
        <v>1244</v>
      </c>
      <c r="I1558" s="752" t="s">
        <v>60</v>
      </c>
      <c r="J1558" s="751">
        <v>22</v>
      </c>
      <c r="K1558" s="751">
        <v>2</v>
      </c>
      <c r="L1558" s="752" t="s">
        <v>54</v>
      </c>
      <c r="M1558" s="752" t="s">
        <v>468</v>
      </c>
      <c r="N1558" s="752" t="s">
        <v>469</v>
      </c>
      <c r="O1558" s="752" t="s">
        <v>469</v>
      </c>
      <c r="P1558" s="752" t="s">
        <v>1238</v>
      </c>
      <c r="Q1558" s="753">
        <v>0</v>
      </c>
      <c r="R1558" s="753">
        <v>0</v>
      </c>
      <c r="S1558" s="753">
        <v>3428</v>
      </c>
      <c r="T1558" s="753">
        <v>3428</v>
      </c>
      <c r="U1558" s="753">
        <v>385</v>
      </c>
      <c r="V1558" s="751">
        <v>2019</v>
      </c>
      <c r="W1558" s="222"/>
      <c r="X1558" s="186"/>
      <c r="Y1558" s="178" t="str">
        <f t="shared" si="78"/>
        <v/>
      </c>
      <c r="Z1558" s="178" t="str">
        <f t="shared" si="79"/>
        <v/>
      </c>
      <c r="AA1558" s="44"/>
      <c r="AB1558" s="65"/>
      <c r="AC1558" s="40"/>
    </row>
    <row r="1559" spans="1:29" hidden="1">
      <c r="A1559" s="751">
        <v>60473</v>
      </c>
      <c r="B1559" s="752" t="s">
        <v>35</v>
      </c>
      <c r="C1559" s="751" t="s">
        <v>2960</v>
      </c>
      <c r="D1559" s="752" t="s">
        <v>2489</v>
      </c>
      <c r="E1559" s="752" t="s">
        <v>2487</v>
      </c>
      <c r="F1559" s="751">
        <v>62836</v>
      </c>
      <c r="G1559" s="752" t="s">
        <v>83</v>
      </c>
      <c r="H1559" s="752" t="s">
        <v>1245</v>
      </c>
      <c r="I1559" s="752" t="s">
        <v>60</v>
      </c>
      <c r="J1559" s="751">
        <v>22</v>
      </c>
      <c r="K1559" s="751">
        <v>2</v>
      </c>
      <c r="L1559" s="752" t="s">
        <v>54</v>
      </c>
      <c r="M1559" s="752" t="s">
        <v>468</v>
      </c>
      <c r="N1559" s="752" t="s">
        <v>469</v>
      </c>
      <c r="O1559" s="752" t="s">
        <v>469</v>
      </c>
      <c r="P1559" s="752" t="s">
        <v>1238</v>
      </c>
      <c r="Q1559" s="753">
        <v>0</v>
      </c>
      <c r="R1559" s="753">
        <v>0</v>
      </c>
      <c r="S1559" s="753">
        <v>14610</v>
      </c>
      <c r="T1559" s="753">
        <v>14610</v>
      </c>
      <c r="U1559" s="753">
        <v>1641</v>
      </c>
      <c r="V1559" s="751">
        <v>2019</v>
      </c>
      <c r="W1559" s="222"/>
      <c r="X1559" s="186"/>
      <c r="Y1559" s="178" t="str">
        <f t="shared" si="78"/>
        <v/>
      </c>
      <c r="Z1559" s="178" t="str">
        <f t="shared" si="79"/>
        <v/>
      </c>
      <c r="AA1559" s="44"/>
      <c r="AB1559" s="65"/>
      <c r="AC1559" s="40"/>
    </row>
    <row r="1560" spans="1:29" hidden="1">
      <c r="A1560" s="751">
        <v>60476</v>
      </c>
      <c r="B1560" s="752" t="s">
        <v>35</v>
      </c>
      <c r="C1560" s="751" t="s">
        <v>2960</v>
      </c>
      <c r="D1560" s="752" t="s">
        <v>2490</v>
      </c>
      <c r="E1560" s="752" t="s">
        <v>2487</v>
      </c>
      <c r="F1560" s="751">
        <v>62836</v>
      </c>
      <c r="G1560" s="752" t="s">
        <v>83</v>
      </c>
      <c r="H1560" s="752" t="s">
        <v>1245</v>
      </c>
      <c r="I1560" s="752" t="s">
        <v>60</v>
      </c>
      <c r="J1560" s="751">
        <v>22</v>
      </c>
      <c r="K1560" s="751">
        <v>2</v>
      </c>
      <c r="L1560" s="752" t="s">
        <v>54</v>
      </c>
      <c r="M1560" s="752" t="s">
        <v>468</v>
      </c>
      <c r="N1560" s="752" t="s">
        <v>469</v>
      </c>
      <c r="O1560" s="752" t="s">
        <v>469</v>
      </c>
      <c r="P1560" s="752" t="s">
        <v>1238</v>
      </c>
      <c r="Q1560" s="753">
        <v>0</v>
      </c>
      <c r="R1560" s="753">
        <v>0</v>
      </c>
      <c r="S1560" s="753">
        <v>13177</v>
      </c>
      <c r="T1560" s="753">
        <v>13177</v>
      </c>
      <c r="U1560" s="753">
        <v>1480</v>
      </c>
      <c r="V1560" s="751">
        <v>2019</v>
      </c>
      <c r="W1560" s="222"/>
      <c r="X1560" s="186"/>
      <c r="Y1560" s="178" t="str">
        <f t="shared" si="78"/>
        <v/>
      </c>
      <c r="Z1560" s="178" t="str">
        <f t="shared" si="79"/>
        <v/>
      </c>
      <c r="AA1560" s="44"/>
      <c r="AB1560" s="65"/>
      <c r="AC1560" s="40"/>
    </row>
    <row r="1561" spans="1:29" hidden="1">
      <c r="A1561" s="751">
        <v>60477</v>
      </c>
      <c r="B1561" s="752" t="s">
        <v>35</v>
      </c>
      <c r="C1561" s="751" t="s">
        <v>2960</v>
      </c>
      <c r="D1561" s="752" t="s">
        <v>2105</v>
      </c>
      <c r="E1561" s="752" t="s">
        <v>2106</v>
      </c>
      <c r="F1561" s="751">
        <v>60250</v>
      </c>
      <c r="G1561" s="752" t="s">
        <v>59</v>
      </c>
      <c r="H1561" s="752" t="s">
        <v>1244</v>
      </c>
      <c r="I1561" s="752" t="s">
        <v>60</v>
      </c>
      <c r="J1561" s="751">
        <v>22</v>
      </c>
      <c r="K1561" s="751">
        <v>2</v>
      </c>
      <c r="L1561" s="752" t="s">
        <v>54</v>
      </c>
      <c r="M1561" s="752" t="s">
        <v>468</v>
      </c>
      <c r="N1561" s="752" t="s">
        <v>469</v>
      </c>
      <c r="O1561" s="752" t="s">
        <v>469</v>
      </c>
      <c r="P1561" s="752" t="s">
        <v>1238</v>
      </c>
      <c r="Q1561" s="753">
        <v>0</v>
      </c>
      <c r="R1561" s="753">
        <v>0</v>
      </c>
      <c r="S1561" s="753">
        <v>20970</v>
      </c>
      <c r="T1561" s="753">
        <v>20970</v>
      </c>
      <c r="U1561" s="753">
        <v>2355</v>
      </c>
      <c r="V1561" s="751">
        <v>2019</v>
      </c>
      <c r="W1561" s="222"/>
      <c r="X1561" s="186"/>
      <c r="Y1561" s="178" t="str">
        <f t="shared" si="78"/>
        <v/>
      </c>
      <c r="Z1561" s="178" t="str">
        <f t="shared" si="79"/>
        <v/>
      </c>
      <c r="AA1561" s="44"/>
      <c r="AB1561" s="65"/>
      <c r="AC1561" s="40"/>
    </row>
    <row r="1562" spans="1:29" hidden="1">
      <c r="A1562" s="751">
        <v>60478</v>
      </c>
      <c r="B1562" s="752" t="s">
        <v>35</v>
      </c>
      <c r="C1562" s="751" t="s">
        <v>2960</v>
      </c>
      <c r="D1562" s="752" t="s">
        <v>2107</v>
      </c>
      <c r="E1562" s="752" t="s">
        <v>2106</v>
      </c>
      <c r="F1562" s="751">
        <v>60250</v>
      </c>
      <c r="G1562" s="752" t="s">
        <v>59</v>
      </c>
      <c r="H1562" s="752" t="s">
        <v>1244</v>
      </c>
      <c r="I1562" s="752" t="s">
        <v>60</v>
      </c>
      <c r="J1562" s="751">
        <v>22</v>
      </c>
      <c r="K1562" s="751">
        <v>2</v>
      </c>
      <c r="L1562" s="752" t="s">
        <v>54</v>
      </c>
      <c r="M1562" s="752" t="s">
        <v>468</v>
      </c>
      <c r="N1562" s="752" t="s">
        <v>469</v>
      </c>
      <c r="O1562" s="752" t="s">
        <v>469</v>
      </c>
      <c r="P1562" s="752" t="s">
        <v>1238</v>
      </c>
      <c r="Q1562" s="753">
        <v>0</v>
      </c>
      <c r="R1562" s="753">
        <v>0</v>
      </c>
      <c r="S1562" s="753">
        <v>12592</v>
      </c>
      <c r="T1562" s="753">
        <v>12592</v>
      </c>
      <c r="U1562" s="753">
        <v>1414</v>
      </c>
      <c r="V1562" s="751">
        <v>2019</v>
      </c>
      <c r="W1562" s="222"/>
      <c r="X1562" s="186"/>
      <c r="Y1562" s="178" t="str">
        <f t="shared" si="78"/>
        <v/>
      </c>
      <c r="Z1562" s="178" t="str">
        <f t="shared" si="79"/>
        <v/>
      </c>
      <c r="AA1562" s="44"/>
      <c r="AB1562" s="65"/>
      <c r="AC1562" s="40"/>
    </row>
    <row r="1563" spans="1:29" ht="25" hidden="1">
      <c r="A1563" s="751">
        <v>60492</v>
      </c>
      <c r="B1563" s="752" t="s">
        <v>35</v>
      </c>
      <c r="C1563" s="751" t="s">
        <v>2960</v>
      </c>
      <c r="D1563" s="752" t="s">
        <v>2108</v>
      </c>
      <c r="E1563" s="752" t="s">
        <v>2109</v>
      </c>
      <c r="F1563" s="751">
        <v>60281</v>
      </c>
      <c r="G1563" s="752" t="s">
        <v>83</v>
      </c>
      <c r="H1563" s="752" t="s">
        <v>1245</v>
      </c>
      <c r="I1563" s="752" t="s">
        <v>60</v>
      </c>
      <c r="J1563" s="751">
        <v>22</v>
      </c>
      <c r="K1563" s="751">
        <v>2</v>
      </c>
      <c r="L1563" s="752" t="s">
        <v>54</v>
      </c>
      <c r="M1563" s="752" t="s">
        <v>468</v>
      </c>
      <c r="N1563" s="752" t="s">
        <v>469</v>
      </c>
      <c r="O1563" s="752" t="s">
        <v>469</v>
      </c>
      <c r="P1563" s="752" t="s">
        <v>1238</v>
      </c>
      <c r="Q1563" s="753">
        <v>0</v>
      </c>
      <c r="R1563" s="753">
        <v>0</v>
      </c>
      <c r="S1563" s="753">
        <v>29115</v>
      </c>
      <c r="T1563" s="753">
        <v>29115</v>
      </c>
      <c r="U1563" s="753">
        <v>3270</v>
      </c>
      <c r="V1563" s="751">
        <v>2019</v>
      </c>
      <c r="W1563" s="222"/>
      <c r="X1563" s="186"/>
      <c r="Y1563" s="178" t="str">
        <f t="shared" si="78"/>
        <v/>
      </c>
      <c r="Z1563" s="178" t="str">
        <f t="shared" si="79"/>
        <v/>
      </c>
      <c r="AA1563" s="44"/>
      <c r="AB1563" s="65"/>
      <c r="AC1563" s="40"/>
    </row>
    <row r="1564" spans="1:29" ht="25" hidden="1">
      <c r="A1564" s="751">
        <v>60493</v>
      </c>
      <c r="B1564" s="752" t="s">
        <v>35</v>
      </c>
      <c r="C1564" s="751" t="s">
        <v>2960</v>
      </c>
      <c r="D1564" s="752" t="s">
        <v>2110</v>
      </c>
      <c r="E1564" s="752" t="s">
        <v>2109</v>
      </c>
      <c r="F1564" s="751">
        <v>60281</v>
      </c>
      <c r="G1564" s="752" t="s">
        <v>83</v>
      </c>
      <c r="H1564" s="752" t="s">
        <v>1245</v>
      </c>
      <c r="I1564" s="752" t="s">
        <v>60</v>
      </c>
      <c r="J1564" s="751">
        <v>22</v>
      </c>
      <c r="K1564" s="751">
        <v>2</v>
      </c>
      <c r="L1564" s="752" t="s">
        <v>54</v>
      </c>
      <c r="M1564" s="752" t="s">
        <v>468</v>
      </c>
      <c r="N1564" s="752" t="s">
        <v>469</v>
      </c>
      <c r="O1564" s="752" t="s">
        <v>469</v>
      </c>
      <c r="P1564" s="752" t="s">
        <v>1238</v>
      </c>
      <c r="Q1564" s="753">
        <v>0</v>
      </c>
      <c r="R1564" s="753">
        <v>0</v>
      </c>
      <c r="S1564" s="753">
        <v>32935</v>
      </c>
      <c r="T1564" s="753">
        <v>32935</v>
      </c>
      <c r="U1564" s="753">
        <v>3699</v>
      </c>
      <c r="V1564" s="751">
        <v>2019</v>
      </c>
      <c r="W1564" s="222"/>
      <c r="X1564" s="186"/>
      <c r="Y1564" s="178" t="str">
        <f t="shared" si="78"/>
        <v/>
      </c>
      <c r="Z1564" s="178" t="str">
        <f t="shared" si="79"/>
        <v/>
      </c>
      <c r="AA1564" s="44"/>
      <c r="AB1564" s="65"/>
      <c r="AC1564" s="40"/>
    </row>
    <row r="1565" spans="1:29" ht="25" hidden="1">
      <c r="A1565" s="751">
        <v>60494</v>
      </c>
      <c r="B1565" s="752" t="s">
        <v>35</v>
      </c>
      <c r="C1565" s="751" t="s">
        <v>2960</v>
      </c>
      <c r="D1565" s="752" t="s">
        <v>2111</v>
      </c>
      <c r="E1565" s="752" t="s">
        <v>2109</v>
      </c>
      <c r="F1565" s="751">
        <v>60281</v>
      </c>
      <c r="G1565" s="752" t="s">
        <v>83</v>
      </c>
      <c r="H1565" s="752" t="s">
        <v>1245</v>
      </c>
      <c r="I1565" s="752" t="s">
        <v>60</v>
      </c>
      <c r="J1565" s="751">
        <v>22</v>
      </c>
      <c r="K1565" s="751">
        <v>2</v>
      </c>
      <c r="L1565" s="752" t="s">
        <v>54</v>
      </c>
      <c r="M1565" s="752" t="s">
        <v>468</v>
      </c>
      <c r="N1565" s="752" t="s">
        <v>469</v>
      </c>
      <c r="O1565" s="752" t="s">
        <v>469</v>
      </c>
      <c r="P1565" s="752" t="s">
        <v>1238</v>
      </c>
      <c r="Q1565" s="753">
        <v>0</v>
      </c>
      <c r="R1565" s="753">
        <v>0</v>
      </c>
      <c r="S1565" s="753">
        <v>48109</v>
      </c>
      <c r="T1565" s="753">
        <v>48109</v>
      </c>
      <c r="U1565" s="753">
        <v>5403</v>
      </c>
      <c r="V1565" s="751">
        <v>2019</v>
      </c>
      <c r="W1565" s="222"/>
      <c r="X1565" s="186"/>
      <c r="Y1565" s="178" t="str">
        <f t="shared" si="78"/>
        <v/>
      </c>
      <c r="Z1565" s="178" t="str">
        <f t="shared" si="79"/>
        <v/>
      </c>
      <c r="AA1565" s="44"/>
      <c r="AB1565" s="65"/>
      <c r="AC1565" s="40"/>
    </row>
    <row r="1566" spans="1:29" ht="25" hidden="1">
      <c r="A1566" s="751">
        <v>60495</v>
      </c>
      <c r="B1566" s="752" t="s">
        <v>35</v>
      </c>
      <c r="C1566" s="751" t="s">
        <v>2960</v>
      </c>
      <c r="D1566" s="752" t="s">
        <v>2112</v>
      </c>
      <c r="E1566" s="752" t="s">
        <v>2109</v>
      </c>
      <c r="F1566" s="751">
        <v>60281</v>
      </c>
      <c r="G1566" s="752" t="s">
        <v>136</v>
      </c>
      <c r="H1566" s="752" t="s">
        <v>1245</v>
      </c>
      <c r="I1566" s="752" t="s">
        <v>60</v>
      </c>
      <c r="J1566" s="751">
        <v>22</v>
      </c>
      <c r="K1566" s="751">
        <v>2</v>
      </c>
      <c r="L1566" s="752" t="s">
        <v>54</v>
      </c>
      <c r="M1566" s="752" t="s">
        <v>468</v>
      </c>
      <c r="N1566" s="752" t="s">
        <v>469</v>
      </c>
      <c r="O1566" s="752" t="s">
        <v>469</v>
      </c>
      <c r="P1566" s="752" t="s">
        <v>1238</v>
      </c>
      <c r="Q1566" s="753">
        <v>0</v>
      </c>
      <c r="R1566" s="753">
        <v>0</v>
      </c>
      <c r="S1566" s="753">
        <v>14924</v>
      </c>
      <c r="T1566" s="753">
        <v>14924</v>
      </c>
      <c r="U1566" s="753">
        <v>1676</v>
      </c>
      <c r="V1566" s="751">
        <v>2019</v>
      </c>
      <c r="W1566" s="222"/>
      <c r="X1566" s="186"/>
      <c r="Y1566" s="178" t="str">
        <f t="shared" si="78"/>
        <v/>
      </c>
      <c r="Z1566" s="178" t="str">
        <f t="shared" si="79"/>
        <v/>
      </c>
      <c r="AA1566" s="44"/>
      <c r="AB1566" s="65"/>
      <c r="AC1566" s="40"/>
    </row>
    <row r="1567" spans="1:29" ht="25" hidden="1">
      <c r="A1567" s="751">
        <v>60498</v>
      </c>
      <c r="B1567" s="752" t="s">
        <v>35</v>
      </c>
      <c r="C1567" s="751" t="s">
        <v>2960</v>
      </c>
      <c r="D1567" s="752" t="s">
        <v>2113</v>
      </c>
      <c r="E1567" s="752" t="s">
        <v>2109</v>
      </c>
      <c r="F1567" s="751">
        <v>60281</v>
      </c>
      <c r="G1567" s="752" t="s">
        <v>83</v>
      </c>
      <c r="H1567" s="752" t="s">
        <v>1245</v>
      </c>
      <c r="I1567" s="752" t="s">
        <v>60</v>
      </c>
      <c r="J1567" s="751">
        <v>22</v>
      </c>
      <c r="K1567" s="751">
        <v>2</v>
      </c>
      <c r="L1567" s="752" t="s">
        <v>54</v>
      </c>
      <c r="M1567" s="752" t="s">
        <v>468</v>
      </c>
      <c r="N1567" s="752" t="s">
        <v>469</v>
      </c>
      <c r="O1567" s="752" t="s">
        <v>469</v>
      </c>
      <c r="P1567" s="752" t="s">
        <v>1238</v>
      </c>
      <c r="Q1567" s="753">
        <v>0</v>
      </c>
      <c r="R1567" s="753">
        <v>0</v>
      </c>
      <c r="S1567" s="753">
        <v>27451</v>
      </c>
      <c r="T1567" s="753">
        <v>27451</v>
      </c>
      <c r="U1567" s="753">
        <v>3083</v>
      </c>
      <c r="V1567" s="751">
        <v>2019</v>
      </c>
      <c r="W1567" s="222"/>
      <c r="X1567" s="186"/>
      <c r="Y1567" s="178" t="str">
        <f t="shared" si="78"/>
        <v/>
      </c>
      <c r="Z1567" s="178" t="str">
        <f t="shared" si="79"/>
        <v/>
      </c>
      <c r="AA1567" s="44"/>
      <c r="AB1567" s="65"/>
      <c r="AC1567" s="40"/>
    </row>
    <row r="1568" spans="1:29" hidden="1">
      <c r="A1568" s="751">
        <v>60507</v>
      </c>
      <c r="B1568" s="752" t="s">
        <v>35</v>
      </c>
      <c r="C1568" s="751" t="s">
        <v>2960</v>
      </c>
      <c r="D1568" s="752" t="s">
        <v>2270</v>
      </c>
      <c r="E1568" s="752" t="s">
        <v>2040</v>
      </c>
      <c r="F1568" s="751">
        <v>60947</v>
      </c>
      <c r="G1568" s="752" t="s">
        <v>59</v>
      </c>
      <c r="H1568" s="752" t="s">
        <v>1244</v>
      </c>
      <c r="I1568" s="752" t="s">
        <v>60</v>
      </c>
      <c r="J1568" s="751">
        <v>22</v>
      </c>
      <c r="K1568" s="751">
        <v>2</v>
      </c>
      <c r="L1568" s="752" t="s">
        <v>54</v>
      </c>
      <c r="M1568" s="752" t="s">
        <v>468</v>
      </c>
      <c r="N1568" s="752" t="s">
        <v>469</v>
      </c>
      <c r="O1568" s="752" t="s">
        <v>469</v>
      </c>
      <c r="P1568" s="752" t="s">
        <v>1238</v>
      </c>
      <c r="Q1568" s="753">
        <v>0</v>
      </c>
      <c r="R1568" s="753">
        <v>0</v>
      </c>
      <c r="S1568" s="753">
        <v>22109</v>
      </c>
      <c r="T1568" s="753">
        <v>22109</v>
      </c>
      <c r="U1568" s="753">
        <v>2483</v>
      </c>
      <c r="V1568" s="751">
        <v>2019</v>
      </c>
      <c r="W1568" s="222"/>
      <c r="X1568" s="186"/>
      <c r="Y1568" s="178" t="str">
        <f t="shared" si="78"/>
        <v/>
      </c>
      <c r="Z1568" s="178" t="str">
        <f t="shared" si="79"/>
        <v/>
      </c>
      <c r="AA1568" s="44"/>
      <c r="AB1568" s="65"/>
      <c r="AC1568" s="40"/>
    </row>
    <row r="1569" spans="1:29" ht="25" hidden="1">
      <c r="A1569" s="751">
        <v>60518</v>
      </c>
      <c r="B1569" s="752" t="s">
        <v>35</v>
      </c>
      <c r="C1569" s="751" t="s">
        <v>2960</v>
      </c>
      <c r="D1569" s="752" t="s">
        <v>2986</v>
      </c>
      <c r="E1569" s="752" t="s">
        <v>137</v>
      </c>
      <c r="F1569" s="751">
        <v>7601</v>
      </c>
      <c r="G1569" s="752" t="s">
        <v>91</v>
      </c>
      <c r="H1569" s="752" t="s">
        <v>1245</v>
      </c>
      <c r="I1569" s="752" t="s">
        <v>60</v>
      </c>
      <c r="J1569" s="751">
        <v>22</v>
      </c>
      <c r="K1569" s="751">
        <v>1</v>
      </c>
      <c r="L1569" s="752" t="s">
        <v>36</v>
      </c>
      <c r="M1569" s="752" t="s">
        <v>2001</v>
      </c>
      <c r="N1569" s="752" t="s">
        <v>1107</v>
      </c>
      <c r="O1569" s="752" t="s">
        <v>84</v>
      </c>
      <c r="P1569" s="752" t="s">
        <v>2961</v>
      </c>
      <c r="Q1569" s="753">
        <v>47</v>
      </c>
      <c r="R1569" s="753">
        <v>47</v>
      </c>
      <c r="S1569" s="753">
        <v>0</v>
      </c>
      <c r="T1569" s="753">
        <v>0</v>
      </c>
      <c r="U1569" s="753">
        <v>223</v>
      </c>
      <c r="V1569" s="751">
        <v>2019</v>
      </c>
      <c r="W1569" s="222"/>
      <c r="X1569" s="186"/>
      <c r="Y1569" s="178" t="str">
        <f t="shared" si="78"/>
        <v/>
      </c>
      <c r="Z1569" s="178" t="str">
        <f t="shared" si="79"/>
        <v/>
      </c>
      <c r="AA1569" s="44"/>
      <c r="AB1569" s="65"/>
      <c r="AC1569" s="40"/>
    </row>
    <row r="1570" spans="1:29" hidden="1">
      <c r="A1570" s="751">
        <v>60518</v>
      </c>
      <c r="B1570" s="752" t="s">
        <v>35</v>
      </c>
      <c r="C1570" s="751" t="s">
        <v>2960</v>
      </c>
      <c r="D1570" s="752" t="s">
        <v>2986</v>
      </c>
      <c r="E1570" s="752" t="s">
        <v>137</v>
      </c>
      <c r="F1570" s="751">
        <v>7601</v>
      </c>
      <c r="G1570" s="752" t="s">
        <v>91</v>
      </c>
      <c r="H1570" s="752" t="s">
        <v>1245</v>
      </c>
      <c r="I1570" s="752" t="s">
        <v>60</v>
      </c>
      <c r="J1570" s="751">
        <v>22</v>
      </c>
      <c r="K1570" s="751">
        <v>1</v>
      </c>
      <c r="L1570" s="752" t="s">
        <v>36</v>
      </c>
      <c r="M1570" s="752" t="s">
        <v>468</v>
      </c>
      <c r="N1570" s="752" t="s">
        <v>469</v>
      </c>
      <c r="O1570" s="752" t="s">
        <v>469</v>
      </c>
      <c r="P1570" s="752" t="s">
        <v>1238</v>
      </c>
      <c r="Q1570" s="753">
        <v>0</v>
      </c>
      <c r="R1570" s="753">
        <v>0</v>
      </c>
      <c r="S1570" s="753">
        <v>14951</v>
      </c>
      <c r="T1570" s="753">
        <v>14951</v>
      </c>
      <c r="U1570" s="753">
        <v>1679</v>
      </c>
      <c r="V1570" s="751">
        <v>2019</v>
      </c>
      <c r="W1570" s="222"/>
      <c r="X1570" s="186"/>
      <c r="Y1570" s="178" t="str">
        <f t="shared" si="78"/>
        <v/>
      </c>
      <c r="Z1570" s="178" t="str">
        <f t="shared" si="79"/>
        <v/>
      </c>
      <c r="AA1570" s="44"/>
      <c r="AB1570" s="65"/>
      <c r="AC1570" s="40"/>
    </row>
    <row r="1571" spans="1:29" hidden="1">
      <c r="A1571" s="751">
        <v>60537</v>
      </c>
      <c r="B1571" s="752" t="s">
        <v>35</v>
      </c>
      <c r="C1571" s="751" t="s">
        <v>2960</v>
      </c>
      <c r="D1571" s="752" t="s">
        <v>2114</v>
      </c>
      <c r="E1571" s="752" t="s">
        <v>2115</v>
      </c>
      <c r="F1571" s="751">
        <v>60297</v>
      </c>
      <c r="G1571" s="752" t="s">
        <v>91</v>
      </c>
      <c r="H1571" s="752" t="s">
        <v>1245</v>
      </c>
      <c r="I1571" s="752" t="s">
        <v>60</v>
      </c>
      <c r="J1571" s="751">
        <v>22</v>
      </c>
      <c r="K1571" s="751">
        <v>2</v>
      </c>
      <c r="L1571" s="752" t="s">
        <v>54</v>
      </c>
      <c r="M1571" s="752" t="s">
        <v>468</v>
      </c>
      <c r="N1571" s="752" t="s">
        <v>469</v>
      </c>
      <c r="O1571" s="752" t="s">
        <v>469</v>
      </c>
      <c r="P1571" s="752" t="s">
        <v>1238</v>
      </c>
      <c r="Q1571" s="753">
        <v>0</v>
      </c>
      <c r="R1571" s="753">
        <v>0</v>
      </c>
      <c r="S1571" s="753">
        <v>28297</v>
      </c>
      <c r="T1571" s="753">
        <v>28297</v>
      </c>
      <c r="U1571" s="753">
        <v>3178</v>
      </c>
      <c r="V1571" s="751">
        <v>2019</v>
      </c>
      <c r="W1571" s="222"/>
      <c r="X1571" s="186">
        <f>IF(OR(K1571&gt;3,T1571=0,NOT(U1571&gt;0)),"",T1571/U1571)</f>
        <v>8.9040276903713025</v>
      </c>
      <c r="Y1571" s="178" t="str">
        <f t="shared" si="78"/>
        <v/>
      </c>
      <c r="Z1571" s="178" t="str">
        <f t="shared" si="79"/>
        <v/>
      </c>
      <c r="AA1571" s="44"/>
      <c r="AB1571" s="65"/>
      <c r="AC1571" s="40"/>
    </row>
    <row r="1572" spans="1:29" hidden="1">
      <c r="A1572" s="751">
        <v>60542</v>
      </c>
      <c r="B1572" s="752" t="s">
        <v>35</v>
      </c>
      <c r="C1572" s="751" t="s">
        <v>2960</v>
      </c>
      <c r="D1572" s="752" t="s">
        <v>2116</v>
      </c>
      <c r="E1572" s="752" t="s">
        <v>2117</v>
      </c>
      <c r="F1572" s="751">
        <v>60301</v>
      </c>
      <c r="G1572" s="752" t="s">
        <v>91</v>
      </c>
      <c r="H1572" s="752" t="s">
        <v>1245</v>
      </c>
      <c r="I1572" s="752" t="s">
        <v>60</v>
      </c>
      <c r="J1572" s="751">
        <v>22</v>
      </c>
      <c r="K1572" s="751">
        <v>2</v>
      </c>
      <c r="L1572" s="752" t="s">
        <v>54</v>
      </c>
      <c r="M1572" s="752" t="s">
        <v>468</v>
      </c>
      <c r="N1572" s="752" t="s">
        <v>469</v>
      </c>
      <c r="O1572" s="752" t="s">
        <v>469</v>
      </c>
      <c r="P1572" s="752" t="s">
        <v>1238</v>
      </c>
      <c r="Q1572" s="753">
        <v>0</v>
      </c>
      <c r="R1572" s="753">
        <v>0</v>
      </c>
      <c r="S1572" s="753">
        <v>13534</v>
      </c>
      <c r="T1572" s="753">
        <v>13534</v>
      </c>
      <c r="U1572" s="753">
        <v>1520</v>
      </c>
      <c r="V1572" s="751">
        <v>2019</v>
      </c>
      <c r="W1572" s="222"/>
      <c r="X1572" s="186"/>
      <c r="Y1572" s="178" t="str">
        <f t="shared" si="78"/>
        <v/>
      </c>
      <c r="Z1572" s="178" t="str">
        <f t="shared" si="79"/>
        <v/>
      </c>
      <c r="AA1572" s="44"/>
      <c r="AB1572" s="65"/>
      <c r="AC1572" s="40"/>
    </row>
    <row r="1573" spans="1:29" hidden="1">
      <c r="A1573" s="751">
        <v>60547</v>
      </c>
      <c r="B1573" s="752" t="s">
        <v>35</v>
      </c>
      <c r="C1573" s="751" t="s">
        <v>2960</v>
      </c>
      <c r="D1573" s="752" t="s">
        <v>2118</v>
      </c>
      <c r="E1573" s="752" t="s">
        <v>137</v>
      </c>
      <c r="F1573" s="751">
        <v>7601</v>
      </c>
      <c r="G1573" s="752" t="s">
        <v>91</v>
      </c>
      <c r="H1573" s="752" t="s">
        <v>1245</v>
      </c>
      <c r="I1573" s="752" t="s">
        <v>60</v>
      </c>
      <c r="J1573" s="751">
        <v>22</v>
      </c>
      <c r="K1573" s="751">
        <v>1</v>
      </c>
      <c r="L1573" s="752" t="s">
        <v>36</v>
      </c>
      <c r="M1573" s="752" t="s">
        <v>468</v>
      </c>
      <c r="N1573" s="752" t="s">
        <v>469</v>
      </c>
      <c r="O1573" s="752" t="s">
        <v>469</v>
      </c>
      <c r="P1573" s="752" t="s">
        <v>1238</v>
      </c>
      <c r="Q1573" s="753">
        <v>0</v>
      </c>
      <c r="R1573" s="753">
        <v>0</v>
      </c>
      <c r="S1573" s="753">
        <v>25681</v>
      </c>
      <c r="T1573" s="753">
        <v>25681</v>
      </c>
      <c r="U1573" s="753">
        <v>2884</v>
      </c>
      <c r="V1573" s="751">
        <v>2019</v>
      </c>
      <c r="W1573" s="222"/>
      <c r="X1573" s="186"/>
      <c r="Y1573" s="178" t="str">
        <f t="shared" si="78"/>
        <v/>
      </c>
      <c r="Z1573" s="178" t="str">
        <f t="shared" si="79"/>
        <v/>
      </c>
      <c r="AA1573" s="44"/>
      <c r="AB1573" s="65"/>
      <c r="AC1573" s="40"/>
    </row>
    <row r="1574" spans="1:29" ht="25" hidden="1">
      <c r="A1574" s="751">
        <v>60562</v>
      </c>
      <c r="B1574" s="752" t="s">
        <v>35</v>
      </c>
      <c r="C1574" s="751" t="s">
        <v>2960</v>
      </c>
      <c r="D1574" s="752" t="s">
        <v>2987</v>
      </c>
      <c r="E1574" s="752" t="s">
        <v>137</v>
      </c>
      <c r="F1574" s="751">
        <v>7601</v>
      </c>
      <c r="G1574" s="752" t="s">
        <v>91</v>
      </c>
      <c r="H1574" s="752" t="s">
        <v>1245</v>
      </c>
      <c r="I1574" s="752" t="s">
        <v>60</v>
      </c>
      <c r="J1574" s="751">
        <v>22</v>
      </c>
      <c r="K1574" s="751">
        <v>1</v>
      </c>
      <c r="L1574" s="752" t="s">
        <v>36</v>
      </c>
      <c r="M1574" s="752" t="s">
        <v>2001</v>
      </c>
      <c r="N1574" s="752" t="s">
        <v>1107</v>
      </c>
      <c r="O1574" s="752" t="s">
        <v>84</v>
      </c>
      <c r="P1574" s="752" t="s">
        <v>2961</v>
      </c>
      <c r="Q1574" s="753">
        <v>984</v>
      </c>
      <c r="R1574" s="753">
        <v>984</v>
      </c>
      <c r="S1574" s="753">
        <v>0</v>
      </c>
      <c r="T1574" s="753">
        <v>0</v>
      </c>
      <c r="U1574" s="753">
        <v>-680</v>
      </c>
      <c r="V1574" s="751">
        <v>2019</v>
      </c>
      <c r="W1574" s="222"/>
      <c r="X1574" s="186"/>
      <c r="Y1574" s="178" t="str">
        <f t="shared" si="78"/>
        <v/>
      </c>
      <c r="Z1574" s="178" t="str">
        <f t="shared" si="79"/>
        <v/>
      </c>
      <c r="AA1574" s="44"/>
      <c r="AB1574" s="65"/>
      <c r="AC1574" s="40"/>
    </row>
    <row r="1575" spans="1:29" hidden="1">
      <c r="A1575" s="751">
        <v>60562</v>
      </c>
      <c r="B1575" s="752" t="s">
        <v>35</v>
      </c>
      <c r="C1575" s="751" t="s">
        <v>2960</v>
      </c>
      <c r="D1575" s="752" t="s">
        <v>2987</v>
      </c>
      <c r="E1575" s="752" t="s">
        <v>137</v>
      </c>
      <c r="F1575" s="751">
        <v>7601</v>
      </c>
      <c r="G1575" s="752" t="s">
        <v>91</v>
      </c>
      <c r="H1575" s="752" t="s">
        <v>1245</v>
      </c>
      <c r="I1575" s="752" t="s">
        <v>60</v>
      </c>
      <c r="J1575" s="751">
        <v>22</v>
      </c>
      <c r="K1575" s="751">
        <v>1</v>
      </c>
      <c r="L1575" s="752" t="s">
        <v>36</v>
      </c>
      <c r="M1575" s="752" t="s">
        <v>468</v>
      </c>
      <c r="N1575" s="752" t="s">
        <v>469</v>
      </c>
      <c r="O1575" s="752" t="s">
        <v>469</v>
      </c>
      <c r="P1575" s="752" t="s">
        <v>1238</v>
      </c>
      <c r="Q1575" s="753">
        <v>0</v>
      </c>
      <c r="R1575" s="753">
        <v>0</v>
      </c>
      <c r="S1575" s="753">
        <v>77296</v>
      </c>
      <c r="T1575" s="753">
        <v>77296</v>
      </c>
      <c r="U1575" s="753">
        <v>8681</v>
      </c>
      <c r="V1575" s="751">
        <v>2019</v>
      </c>
      <c r="W1575" s="222"/>
      <c r="X1575" s="186"/>
      <c r="Y1575" s="178" t="str">
        <f t="shared" si="78"/>
        <v/>
      </c>
      <c r="Z1575" s="178" t="str">
        <f t="shared" si="79"/>
        <v/>
      </c>
      <c r="AA1575" s="44"/>
      <c r="AB1575" s="65"/>
      <c r="AC1575" s="40"/>
    </row>
    <row r="1576" spans="1:29">
      <c r="A1576" s="751">
        <v>60593</v>
      </c>
      <c r="B1576" s="752" t="s">
        <v>35</v>
      </c>
      <c r="C1576" s="751" t="s">
        <v>2960</v>
      </c>
      <c r="D1576" s="752" t="s">
        <v>2119</v>
      </c>
      <c r="E1576" s="752" t="s">
        <v>1983</v>
      </c>
      <c r="F1576" s="751">
        <v>19497</v>
      </c>
      <c r="G1576" s="752" t="s">
        <v>43</v>
      </c>
      <c r="H1576" s="752" t="s">
        <v>1245</v>
      </c>
      <c r="I1576" s="752" t="s">
        <v>60</v>
      </c>
      <c r="J1576" s="751">
        <v>22</v>
      </c>
      <c r="K1576" s="751">
        <v>1</v>
      </c>
      <c r="L1576" s="752" t="s">
        <v>36</v>
      </c>
      <c r="M1576" s="752" t="s">
        <v>1322</v>
      </c>
      <c r="N1576" s="752" t="s">
        <v>41</v>
      </c>
      <c r="O1576" s="752" t="s">
        <v>41</v>
      </c>
      <c r="P1576" s="752" t="s">
        <v>1091</v>
      </c>
      <c r="Q1576" s="753">
        <v>156041</v>
      </c>
      <c r="R1576" s="753">
        <v>156041</v>
      </c>
      <c r="S1576" s="753">
        <v>161346</v>
      </c>
      <c r="T1576" s="753">
        <v>161346</v>
      </c>
      <c r="U1576" s="753">
        <v>18697</v>
      </c>
      <c r="V1576" s="751">
        <v>2019</v>
      </c>
      <c r="W1576" s="222"/>
      <c r="X1576" s="186">
        <f>IF(OR(K1576&gt;3,T1576=0,NOT(U1576&gt;0)),"",T1576/U1576)</f>
        <v>8.629512756057121</v>
      </c>
      <c r="Y1576" s="178" t="str">
        <f t="shared" si="78"/>
        <v/>
      </c>
      <c r="Z1576" s="178" t="str">
        <f t="shared" si="79"/>
        <v/>
      </c>
      <c r="AA1576" s="44"/>
      <c r="AB1576" s="65"/>
      <c r="AC1576" s="40"/>
    </row>
    <row r="1577" spans="1:29" hidden="1">
      <c r="A1577" s="751">
        <v>60605</v>
      </c>
      <c r="B1577" s="752" t="s">
        <v>35</v>
      </c>
      <c r="C1577" s="751" t="s">
        <v>2960</v>
      </c>
      <c r="D1577" s="752" t="s">
        <v>2120</v>
      </c>
      <c r="E1577" s="752" t="s">
        <v>2040</v>
      </c>
      <c r="F1577" s="751">
        <v>60947</v>
      </c>
      <c r="G1577" s="752" t="s">
        <v>43</v>
      </c>
      <c r="H1577" s="752" t="s">
        <v>1245</v>
      </c>
      <c r="I1577" s="752" t="s">
        <v>60</v>
      </c>
      <c r="J1577" s="751">
        <v>22</v>
      </c>
      <c r="K1577" s="751">
        <v>2</v>
      </c>
      <c r="L1577" s="752" t="s">
        <v>54</v>
      </c>
      <c r="M1577" s="752" t="s">
        <v>468</v>
      </c>
      <c r="N1577" s="752" t="s">
        <v>469</v>
      </c>
      <c r="O1577" s="752" t="s">
        <v>469</v>
      </c>
      <c r="P1577" s="752" t="s">
        <v>1238</v>
      </c>
      <c r="Q1577" s="753">
        <v>0</v>
      </c>
      <c r="R1577" s="753">
        <v>0</v>
      </c>
      <c r="S1577" s="753">
        <v>14396</v>
      </c>
      <c r="T1577" s="753">
        <v>14396</v>
      </c>
      <c r="U1577" s="753">
        <v>1617</v>
      </c>
      <c r="V1577" s="751">
        <v>2019</v>
      </c>
      <c r="W1577" s="222"/>
      <c r="X1577" s="186"/>
      <c r="Y1577" s="178" t="str">
        <f t="shared" si="78"/>
        <v/>
      </c>
      <c r="Z1577" s="178" t="str">
        <f t="shared" si="79"/>
        <v/>
      </c>
      <c r="AA1577" s="44"/>
      <c r="AB1577" s="65"/>
      <c r="AC1577" s="40"/>
    </row>
    <row r="1578" spans="1:29" ht="25" hidden="1">
      <c r="A1578" s="751">
        <v>60607</v>
      </c>
      <c r="B1578" s="752" t="s">
        <v>35</v>
      </c>
      <c r="C1578" s="751" t="s">
        <v>2960</v>
      </c>
      <c r="D1578" s="752" t="s">
        <v>2988</v>
      </c>
      <c r="E1578" s="752" t="s">
        <v>2040</v>
      </c>
      <c r="F1578" s="751">
        <v>60947</v>
      </c>
      <c r="G1578" s="752" t="s">
        <v>43</v>
      </c>
      <c r="H1578" s="752" t="s">
        <v>1245</v>
      </c>
      <c r="I1578" s="752" t="s">
        <v>60</v>
      </c>
      <c r="J1578" s="751">
        <v>22</v>
      </c>
      <c r="K1578" s="751">
        <v>2</v>
      </c>
      <c r="L1578" s="752" t="s">
        <v>54</v>
      </c>
      <c r="M1578" s="752" t="s">
        <v>2001</v>
      </c>
      <c r="N1578" s="752" t="s">
        <v>1107</v>
      </c>
      <c r="O1578" s="752" t="s">
        <v>84</v>
      </c>
      <c r="P1578" s="752" t="s">
        <v>2961</v>
      </c>
      <c r="Q1578" s="753">
        <v>0</v>
      </c>
      <c r="R1578" s="753">
        <v>0</v>
      </c>
      <c r="S1578" s="753">
        <v>0</v>
      </c>
      <c r="T1578" s="753">
        <v>0</v>
      </c>
      <c r="U1578" s="753">
        <v>0</v>
      </c>
      <c r="V1578" s="751">
        <v>2019</v>
      </c>
      <c r="W1578" s="222"/>
      <c r="X1578" s="186"/>
      <c r="Y1578" s="178" t="str">
        <f t="shared" si="78"/>
        <v/>
      </c>
      <c r="Z1578" s="178" t="str">
        <f t="shared" si="79"/>
        <v/>
      </c>
      <c r="AA1578" s="44"/>
      <c r="AB1578" s="65"/>
      <c r="AC1578" s="40"/>
    </row>
    <row r="1579" spans="1:29" ht="25" hidden="1">
      <c r="A1579" s="751">
        <v>60607</v>
      </c>
      <c r="B1579" s="752" t="s">
        <v>35</v>
      </c>
      <c r="C1579" s="751" t="s">
        <v>2960</v>
      </c>
      <c r="D1579" s="752" t="s">
        <v>2988</v>
      </c>
      <c r="E1579" s="752" t="s">
        <v>2040</v>
      </c>
      <c r="F1579" s="751">
        <v>60947</v>
      </c>
      <c r="G1579" s="752" t="s">
        <v>43</v>
      </c>
      <c r="H1579" s="752" t="s">
        <v>1245</v>
      </c>
      <c r="I1579" s="752" t="s">
        <v>60</v>
      </c>
      <c r="J1579" s="751">
        <v>22</v>
      </c>
      <c r="K1579" s="751">
        <v>2</v>
      </c>
      <c r="L1579" s="752" t="s">
        <v>54</v>
      </c>
      <c r="M1579" s="752" t="s">
        <v>468</v>
      </c>
      <c r="N1579" s="752" t="s">
        <v>469</v>
      </c>
      <c r="O1579" s="752" t="s">
        <v>469</v>
      </c>
      <c r="P1579" s="752" t="s">
        <v>1238</v>
      </c>
      <c r="Q1579" s="753">
        <v>0</v>
      </c>
      <c r="R1579" s="753">
        <v>0</v>
      </c>
      <c r="S1579" s="753">
        <v>46479</v>
      </c>
      <c r="T1579" s="753">
        <v>46479</v>
      </c>
      <c r="U1579" s="753">
        <v>5220</v>
      </c>
      <c r="V1579" s="751">
        <v>2019</v>
      </c>
      <c r="W1579" s="222"/>
      <c r="X1579" s="186"/>
      <c r="Y1579" s="178" t="str">
        <f t="shared" si="78"/>
        <v/>
      </c>
      <c r="Z1579" s="178" t="str">
        <f t="shared" si="79"/>
        <v/>
      </c>
      <c r="AA1579" s="44"/>
      <c r="AB1579" s="65"/>
      <c r="AC1579" s="40"/>
    </row>
    <row r="1580" spans="1:29" hidden="1">
      <c r="A1580" s="751">
        <v>60608</v>
      </c>
      <c r="B1580" s="752" t="s">
        <v>35</v>
      </c>
      <c r="C1580" s="751" t="s">
        <v>2960</v>
      </c>
      <c r="D1580" s="752" t="s">
        <v>2271</v>
      </c>
      <c r="E1580" s="752" t="s">
        <v>2040</v>
      </c>
      <c r="F1580" s="751">
        <v>60947</v>
      </c>
      <c r="G1580" s="752" t="s">
        <v>43</v>
      </c>
      <c r="H1580" s="752" t="s">
        <v>1245</v>
      </c>
      <c r="I1580" s="752" t="s">
        <v>60</v>
      </c>
      <c r="J1580" s="751">
        <v>22</v>
      </c>
      <c r="K1580" s="751">
        <v>2</v>
      </c>
      <c r="L1580" s="752" t="s">
        <v>54</v>
      </c>
      <c r="M1580" s="752" t="s">
        <v>468</v>
      </c>
      <c r="N1580" s="752" t="s">
        <v>469</v>
      </c>
      <c r="O1580" s="752" t="s">
        <v>469</v>
      </c>
      <c r="P1580" s="752" t="s">
        <v>1238</v>
      </c>
      <c r="Q1580" s="753">
        <v>0</v>
      </c>
      <c r="R1580" s="753">
        <v>0</v>
      </c>
      <c r="S1580" s="753">
        <v>12430</v>
      </c>
      <c r="T1580" s="753">
        <v>12430</v>
      </c>
      <c r="U1580" s="753">
        <v>1396</v>
      </c>
      <c r="V1580" s="751">
        <v>2019</v>
      </c>
      <c r="W1580" s="222"/>
      <c r="X1580" s="186"/>
      <c r="Y1580" s="178" t="str">
        <f t="shared" si="78"/>
        <v/>
      </c>
      <c r="Z1580" s="178" t="str">
        <f t="shared" si="79"/>
        <v/>
      </c>
      <c r="AA1580" s="44"/>
      <c r="AB1580" s="65"/>
      <c r="AC1580" s="40"/>
    </row>
    <row r="1581" spans="1:29" ht="25" hidden="1">
      <c r="A1581" s="751">
        <v>60609</v>
      </c>
      <c r="B1581" s="752" t="s">
        <v>35</v>
      </c>
      <c r="C1581" s="751" t="s">
        <v>2960</v>
      </c>
      <c r="D1581" s="752" t="s">
        <v>2989</v>
      </c>
      <c r="E1581" s="752" t="s">
        <v>2040</v>
      </c>
      <c r="F1581" s="751">
        <v>60947</v>
      </c>
      <c r="G1581" s="752" t="s">
        <v>43</v>
      </c>
      <c r="H1581" s="752" t="s">
        <v>1245</v>
      </c>
      <c r="I1581" s="752" t="s">
        <v>60</v>
      </c>
      <c r="J1581" s="751">
        <v>22</v>
      </c>
      <c r="K1581" s="751">
        <v>2</v>
      </c>
      <c r="L1581" s="752" t="s">
        <v>54</v>
      </c>
      <c r="M1581" s="752" t="s">
        <v>2001</v>
      </c>
      <c r="N1581" s="752" t="s">
        <v>1107</v>
      </c>
      <c r="O1581" s="752" t="s">
        <v>84</v>
      </c>
      <c r="P1581" s="752" t="s">
        <v>2961</v>
      </c>
      <c r="Q1581" s="753">
        <v>0</v>
      </c>
      <c r="R1581" s="753">
        <v>0</v>
      </c>
      <c r="S1581" s="753">
        <v>0</v>
      </c>
      <c r="T1581" s="753">
        <v>0</v>
      </c>
      <c r="U1581" s="753">
        <v>0</v>
      </c>
      <c r="V1581" s="751">
        <v>2019</v>
      </c>
      <c r="W1581" s="222"/>
      <c r="X1581" s="186"/>
      <c r="Y1581" s="178" t="str">
        <f t="shared" si="78"/>
        <v/>
      </c>
      <c r="Z1581" s="178" t="str">
        <f t="shared" si="79"/>
        <v/>
      </c>
      <c r="AA1581" s="44"/>
      <c r="AB1581" s="65"/>
      <c r="AC1581" s="40"/>
    </row>
    <row r="1582" spans="1:29" ht="25" hidden="1">
      <c r="A1582" s="751">
        <v>60609</v>
      </c>
      <c r="B1582" s="752" t="s">
        <v>35</v>
      </c>
      <c r="C1582" s="751" t="s">
        <v>2960</v>
      </c>
      <c r="D1582" s="752" t="s">
        <v>2989</v>
      </c>
      <c r="E1582" s="752" t="s">
        <v>2040</v>
      </c>
      <c r="F1582" s="751">
        <v>60947</v>
      </c>
      <c r="G1582" s="752" t="s">
        <v>43</v>
      </c>
      <c r="H1582" s="752" t="s">
        <v>1245</v>
      </c>
      <c r="I1582" s="752" t="s">
        <v>60</v>
      </c>
      <c r="J1582" s="751">
        <v>22</v>
      </c>
      <c r="K1582" s="751">
        <v>2</v>
      </c>
      <c r="L1582" s="752" t="s">
        <v>54</v>
      </c>
      <c r="M1582" s="752" t="s">
        <v>468</v>
      </c>
      <c r="N1582" s="752" t="s">
        <v>469</v>
      </c>
      <c r="O1582" s="752" t="s">
        <v>469</v>
      </c>
      <c r="P1582" s="752" t="s">
        <v>1238</v>
      </c>
      <c r="Q1582" s="753">
        <v>0</v>
      </c>
      <c r="R1582" s="753">
        <v>0</v>
      </c>
      <c r="S1582" s="753">
        <v>42188</v>
      </c>
      <c r="T1582" s="753">
        <v>42188</v>
      </c>
      <c r="U1582" s="753">
        <v>4738</v>
      </c>
      <c r="V1582" s="751">
        <v>2019</v>
      </c>
      <c r="W1582" s="222"/>
      <c r="X1582" s="186"/>
      <c r="Y1582" s="178" t="str">
        <f t="shared" si="78"/>
        <v/>
      </c>
      <c r="Z1582" s="178" t="str">
        <f t="shared" si="79"/>
        <v/>
      </c>
      <c r="AA1582" s="44"/>
      <c r="AB1582" s="65"/>
      <c r="AC1582" s="40"/>
    </row>
    <row r="1583" spans="1:29" hidden="1">
      <c r="A1583" s="751">
        <v>60612</v>
      </c>
      <c r="B1583" s="752" t="s">
        <v>35</v>
      </c>
      <c r="C1583" s="751" t="s">
        <v>2960</v>
      </c>
      <c r="D1583" s="752" t="s">
        <v>2121</v>
      </c>
      <c r="E1583" s="752" t="s">
        <v>1998</v>
      </c>
      <c r="F1583" s="751">
        <v>60163</v>
      </c>
      <c r="G1583" s="752" t="s">
        <v>83</v>
      </c>
      <c r="H1583" s="752" t="s">
        <v>1245</v>
      </c>
      <c r="I1583" s="752" t="s">
        <v>60</v>
      </c>
      <c r="J1583" s="751">
        <v>22</v>
      </c>
      <c r="K1583" s="751">
        <v>2</v>
      </c>
      <c r="L1583" s="752" t="s">
        <v>54</v>
      </c>
      <c r="M1583" s="752" t="s">
        <v>468</v>
      </c>
      <c r="N1583" s="752" t="s">
        <v>469</v>
      </c>
      <c r="O1583" s="752" t="s">
        <v>469</v>
      </c>
      <c r="P1583" s="752" t="s">
        <v>1238</v>
      </c>
      <c r="Q1583" s="753">
        <v>0</v>
      </c>
      <c r="R1583" s="753">
        <v>0</v>
      </c>
      <c r="S1583" s="753">
        <v>58136</v>
      </c>
      <c r="T1583" s="753">
        <v>58136</v>
      </c>
      <c r="U1583" s="753">
        <v>6529</v>
      </c>
      <c r="V1583" s="751">
        <v>2019</v>
      </c>
      <c r="W1583" s="222"/>
      <c r="X1583" s="186"/>
      <c r="Y1583" s="178" t="str">
        <f t="shared" si="78"/>
        <v/>
      </c>
      <c r="Z1583" s="178" t="str">
        <f t="shared" si="79"/>
        <v/>
      </c>
      <c r="AA1583" s="44"/>
      <c r="AB1583" s="65"/>
      <c r="AC1583" s="40"/>
    </row>
    <row r="1584" spans="1:29" hidden="1">
      <c r="A1584" s="751">
        <v>60613</v>
      </c>
      <c r="B1584" s="752" t="s">
        <v>35</v>
      </c>
      <c r="C1584" s="751" t="s">
        <v>2960</v>
      </c>
      <c r="D1584" s="752" t="s">
        <v>2122</v>
      </c>
      <c r="E1584" s="752" t="s">
        <v>1998</v>
      </c>
      <c r="F1584" s="751">
        <v>60163</v>
      </c>
      <c r="G1584" s="752" t="s">
        <v>83</v>
      </c>
      <c r="H1584" s="752" t="s">
        <v>1245</v>
      </c>
      <c r="I1584" s="752" t="s">
        <v>60</v>
      </c>
      <c r="J1584" s="751">
        <v>22</v>
      </c>
      <c r="K1584" s="751">
        <v>2</v>
      </c>
      <c r="L1584" s="752" t="s">
        <v>54</v>
      </c>
      <c r="M1584" s="752" t="s">
        <v>468</v>
      </c>
      <c r="N1584" s="752" t="s">
        <v>469</v>
      </c>
      <c r="O1584" s="752" t="s">
        <v>469</v>
      </c>
      <c r="P1584" s="752" t="s">
        <v>1238</v>
      </c>
      <c r="Q1584" s="753">
        <v>0</v>
      </c>
      <c r="R1584" s="753">
        <v>0</v>
      </c>
      <c r="S1584" s="753">
        <v>28137</v>
      </c>
      <c r="T1584" s="753">
        <v>28137</v>
      </c>
      <c r="U1584" s="753">
        <v>3160</v>
      </c>
      <c r="V1584" s="751">
        <v>2019</v>
      </c>
      <c r="W1584" s="222"/>
      <c r="X1584" s="186"/>
      <c r="Y1584" s="178" t="str">
        <f t="shared" si="78"/>
        <v/>
      </c>
      <c r="Z1584" s="178" t="str">
        <f t="shared" si="79"/>
        <v/>
      </c>
      <c r="AA1584" s="44"/>
      <c r="AB1584" s="65"/>
      <c r="AC1584" s="40"/>
    </row>
    <row r="1585" spans="1:29" hidden="1">
      <c r="A1585" s="751">
        <v>60614</v>
      </c>
      <c r="B1585" s="752" t="s">
        <v>35</v>
      </c>
      <c r="C1585" s="751" t="s">
        <v>2960</v>
      </c>
      <c r="D1585" s="752" t="s">
        <v>2123</v>
      </c>
      <c r="E1585" s="752" t="s">
        <v>1998</v>
      </c>
      <c r="F1585" s="751">
        <v>60163</v>
      </c>
      <c r="G1585" s="752" t="s">
        <v>83</v>
      </c>
      <c r="H1585" s="752" t="s">
        <v>1245</v>
      </c>
      <c r="I1585" s="752" t="s">
        <v>60</v>
      </c>
      <c r="J1585" s="751">
        <v>22</v>
      </c>
      <c r="K1585" s="751">
        <v>2</v>
      </c>
      <c r="L1585" s="752" t="s">
        <v>54</v>
      </c>
      <c r="M1585" s="752" t="s">
        <v>468</v>
      </c>
      <c r="N1585" s="752" t="s">
        <v>469</v>
      </c>
      <c r="O1585" s="752" t="s">
        <v>469</v>
      </c>
      <c r="P1585" s="752" t="s">
        <v>1238</v>
      </c>
      <c r="Q1585" s="753">
        <v>0</v>
      </c>
      <c r="R1585" s="753">
        <v>0</v>
      </c>
      <c r="S1585" s="753">
        <v>12992</v>
      </c>
      <c r="T1585" s="753">
        <v>12992</v>
      </c>
      <c r="U1585" s="753">
        <v>1459</v>
      </c>
      <c r="V1585" s="751">
        <v>2019</v>
      </c>
      <c r="W1585" s="222"/>
      <c r="X1585" s="186"/>
      <c r="Y1585" s="178" t="str">
        <f t="shared" si="78"/>
        <v/>
      </c>
      <c r="Z1585" s="178" t="str">
        <f t="shared" si="79"/>
        <v/>
      </c>
      <c r="AA1585" s="44"/>
      <c r="AB1585" s="65"/>
      <c r="AC1585" s="40"/>
    </row>
    <row r="1586" spans="1:29" ht="25" hidden="1">
      <c r="A1586" s="751">
        <v>60615</v>
      </c>
      <c r="B1586" s="752" t="s">
        <v>35</v>
      </c>
      <c r="C1586" s="751" t="s">
        <v>2960</v>
      </c>
      <c r="D1586" s="752" t="s">
        <v>2124</v>
      </c>
      <c r="E1586" s="752" t="s">
        <v>1998</v>
      </c>
      <c r="F1586" s="751">
        <v>60163</v>
      </c>
      <c r="G1586" s="752" t="s">
        <v>83</v>
      </c>
      <c r="H1586" s="752" t="s">
        <v>1245</v>
      </c>
      <c r="I1586" s="752" t="s">
        <v>60</v>
      </c>
      <c r="J1586" s="751">
        <v>22</v>
      </c>
      <c r="K1586" s="751">
        <v>2</v>
      </c>
      <c r="L1586" s="752" t="s">
        <v>54</v>
      </c>
      <c r="M1586" s="752" t="s">
        <v>468</v>
      </c>
      <c r="N1586" s="752" t="s">
        <v>469</v>
      </c>
      <c r="O1586" s="752" t="s">
        <v>469</v>
      </c>
      <c r="P1586" s="752" t="s">
        <v>1238</v>
      </c>
      <c r="Q1586" s="753">
        <v>0</v>
      </c>
      <c r="R1586" s="753">
        <v>0</v>
      </c>
      <c r="S1586" s="753">
        <v>41083</v>
      </c>
      <c r="T1586" s="753">
        <v>41083</v>
      </c>
      <c r="U1586" s="753">
        <v>4614</v>
      </c>
      <c r="V1586" s="751">
        <v>2019</v>
      </c>
      <c r="W1586" s="222"/>
      <c r="X1586" s="186"/>
      <c r="Y1586" s="178" t="str">
        <f t="shared" si="78"/>
        <v/>
      </c>
      <c r="Z1586" s="178" t="str">
        <f t="shared" si="79"/>
        <v/>
      </c>
      <c r="AA1586" s="44"/>
      <c r="AB1586" s="65"/>
      <c r="AC1586" s="40"/>
    </row>
    <row r="1587" spans="1:29" hidden="1">
      <c r="A1587" s="751">
        <v>60621</v>
      </c>
      <c r="B1587" s="752" t="s">
        <v>35</v>
      </c>
      <c r="C1587" s="751" t="s">
        <v>2960</v>
      </c>
      <c r="D1587" s="752" t="s">
        <v>2272</v>
      </c>
      <c r="E1587" s="752" t="s">
        <v>2273</v>
      </c>
      <c r="F1587" s="751">
        <v>60369</v>
      </c>
      <c r="G1587" s="752" t="s">
        <v>83</v>
      </c>
      <c r="H1587" s="752" t="s">
        <v>1245</v>
      </c>
      <c r="I1587" s="752" t="s">
        <v>60</v>
      </c>
      <c r="J1587" s="751">
        <v>22</v>
      </c>
      <c r="K1587" s="751">
        <v>2</v>
      </c>
      <c r="L1587" s="752" t="s">
        <v>54</v>
      </c>
      <c r="M1587" s="752" t="s">
        <v>468</v>
      </c>
      <c r="N1587" s="752" t="s">
        <v>469</v>
      </c>
      <c r="O1587" s="752" t="s">
        <v>469</v>
      </c>
      <c r="P1587" s="752" t="s">
        <v>1238</v>
      </c>
      <c r="Q1587" s="753">
        <v>0</v>
      </c>
      <c r="R1587" s="753">
        <v>0</v>
      </c>
      <c r="S1587" s="753">
        <v>74170</v>
      </c>
      <c r="T1587" s="753">
        <v>74170</v>
      </c>
      <c r="U1587" s="753">
        <v>8330</v>
      </c>
      <c r="V1587" s="751">
        <v>2019</v>
      </c>
      <c r="W1587" s="222"/>
      <c r="X1587" s="186"/>
      <c r="Y1587" s="178" t="str">
        <f t="shared" si="78"/>
        <v/>
      </c>
      <c r="Z1587" s="178" t="str">
        <f t="shared" si="79"/>
        <v/>
      </c>
      <c r="AA1587" s="44"/>
      <c r="AB1587" s="65"/>
      <c r="AC1587" s="40"/>
    </row>
    <row r="1588" spans="1:29" hidden="1">
      <c r="A1588" s="751">
        <v>60625</v>
      </c>
      <c r="B1588" s="752" t="s">
        <v>35</v>
      </c>
      <c r="C1588" s="751" t="s">
        <v>2960</v>
      </c>
      <c r="D1588" s="752" t="s">
        <v>2990</v>
      </c>
      <c r="E1588" s="752" t="s">
        <v>2125</v>
      </c>
      <c r="F1588" s="751">
        <v>60365</v>
      </c>
      <c r="G1588" s="752" t="s">
        <v>83</v>
      </c>
      <c r="H1588" s="752" t="s">
        <v>1245</v>
      </c>
      <c r="I1588" s="752" t="s">
        <v>60</v>
      </c>
      <c r="J1588" s="751">
        <v>22</v>
      </c>
      <c r="K1588" s="751">
        <v>2</v>
      </c>
      <c r="L1588" s="752" t="s">
        <v>54</v>
      </c>
      <c r="M1588" s="752" t="s">
        <v>468</v>
      </c>
      <c r="N1588" s="752" t="s">
        <v>469</v>
      </c>
      <c r="O1588" s="752" t="s">
        <v>469</v>
      </c>
      <c r="P1588" s="752" t="s">
        <v>1238</v>
      </c>
      <c r="Q1588" s="753">
        <v>0</v>
      </c>
      <c r="R1588" s="753">
        <v>0</v>
      </c>
      <c r="S1588" s="753">
        <v>17301</v>
      </c>
      <c r="T1588" s="753">
        <v>17301</v>
      </c>
      <c r="U1588" s="753">
        <v>1943</v>
      </c>
      <c r="V1588" s="751">
        <v>2019</v>
      </c>
      <c r="W1588" s="222"/>
      <c r="X1588" s="186"/>
      <c r="Y1588" s="178" t="str">
        <f t="shared" si="78"/>
        <v/>
      </c>
      <c r="Z1588" s="178" t="str">
        <f t="shared" si="79"/>
        <v/>
      </c>
      <c r="AA1588" s="44"/>
      <c r="AB1588" s="65"/>
      <c r="AC1588" s="40"/>
    </row>
    <row r="1589" spans="1:29" hidden="1">
      <c r="A1589" s="751">
        <v>60640</v>
      </c>
      <c r="B1589" s="752" t="s">
        <v>35</v>
      </c>
      <c r="C1589" s="751" t="s">
        <v>2960</v>
      </c>
      <c r="D1589" s="752" t="s">
        <v>2991</v>
      </c>
      <c r="E1589" s="752" t="s">
        <v>2274</v>
      </c>
      <c r="F1589" s="751">
        <v>60363</v>
      </c>
      <c r="G1589" s="752" t="s">
        <v>92</v>
      </c>
      <c r="H1589" s="752" t="s">
        <v>1245</v>
      </c>
      <c r="I1589" s="752" t="s">
        <v>60</v>
      </c>
      <c r="J1589" s="751">
        <v>22</v>
      </c>
      <c r="K1589" s="751">
        <v>2</v>
      </c>
      <c r="L1589" s="752" t="s">
        <v>54</v>
      </c>
      <c r="M1589" s="752" t="s">
        <v>468</v>
      </c>
      <c r="N1589" s="752" t="s">
        <v>469</v>
      </c>
      <c r="O1589" s="752" t="s">
        <v>469</v>
      </c>
      <c r="P1589" s="752" t="s">
        <v>1238</v>
      </c>
      <c r="Q1589" s="753">
        <v>0</v>
      </c>
      <c r="R1589" s="753">
        <v>0</v>
      </c>
      <c r="S1589" s="753">
        <v>19145</v>
      </c>
      <c r="T1589" s="753">
        <v>19145</v>
      </c>
      <c r="U1589" s="753">
        <v>2150</v>
      </c>
      <c r="V1589" s="751">
        <v>2019</v>
      </c>
      <c r="W1589" s="222"/>
      <c r="X1589" s="186"/>
      <c r="Y1589" s="178" t="str">
        <f t="shared" si="78"/>
        <v/>
      </c>
      <c r="Z1589" s="178" t="str">
        <f t="shared" si="79"/>
        <v/>
      </c>
      <c r="AA1589" s="44"/>
      <c r="AB1589" s="65"/>
      <c r="AC1589" s="40"/>
    </row>
    <row r="1590" spans="1:29" hidden="1">
      <c r="A1590" s="751">
        <v>60644</v>
      </c>
      <c r="B1590" s="752" t="s">
        <v>35</v>
      </c>
      <c r="C1590" s="751" t="s">
        <v>2960</v>
      </c>
      <c r="D1590" s="752" t="s">
        <v>2126</v>
      </c>
      <c r="E1590" s="752" t="s">
        <v>1998</v>
      </c>
      <c r="F1590" s="751">
        <v>60163</v>
      </c>
      <c r="G1590" s="752" t="s">
        <v>83</v>
      </c>
      <c r="H1590" s="752" t="s">
        <v>1245</v>
      </c>
      <c r="I1590" s="752" t="s">
        <v>60</v>
      </c>
      <c r="J1590" s="751">
        <v>22</v>
      </c>
      <c r="K1590" s="751">
        <v>2</v>
      </c>
      <c r="L1590" s="752" t="s">
        <v>54</v>
      </c>
      <c r="M1590" s="752" t="s">
        <v>468</v>
      </c>
      <c r="N1590" s="752" t="s">
        <v>469</v>
      </c>
      <c r="O1590" s="752" t="s">
        <v>469</v>
      </c>
      <c r="P1590" s="752" t="s">
        <v>1238</v>
      </c>
      <c r="Q1590" s="753">
        <v>0</v>
      </c>
      <c r="R1590" s="753">
        <v>0</v>
      </c>
      <c r="S1590" s="753">
        <v>17844</v>
      </c>
      <c r="T1590" s="753">
        <v>17844</v>
      </c>
      <c r="U1590" s="753">
        <v>2004</v>
      </c>
      <c r="V1590" s="751">
        <v>2019</v>
      </c>
      <c r="W1590" s="222"/>
      <c r="X1590" s="186"/>
      <c r="Y1590" s="178" t="str">
        <f t="shared" si="78"/>
        <v/>
      </c>
      <c r="Z1590" s="178" t="str">
        <f t="shared" si="79"/>
        <v/>
      </c>
      <c r="AA1590" s="44"/>
      <c r="AB1590" s="65"/>
      <c r="AC1590" s="40"/>
    </row>
    <row r="1591" spans="1:29" ht="25" hidden="1">
      <c r="A1591" s="751">
        <v>60653</v>
      </c>
      <c r="B1591" s="752" t="s">
        <v>35</v>
      </c>
      <c r="C1591" s="751" t="s">
        <v>2960</v>
      </c>
      <c r="D1591" s="752" t="s">
        <v>2127</v>
      </c>
      <c r="E1591" s="752" t="s">
        <v>2109</v>
      </c>
      <c r="F1591" s="751">
        <v>60281</v>
      </c>
      <c r="G1591" s="752" t="s">
        <v>83</v>
      </c>
      <c r="H1591" s="752" t="s">
        <v>1245</v>
      </c>
      <c r="I1591" s="752" t="s">
        <v>60</v>
      </c>
      <c r="J1591" s="751">
        <v>22</v>
      </c>
      <c r="K1591" s="751">
        <v>2</v>
      </c>
      <c r="L1591" s="752" t="s">
        <v>54</v>
      </c>
      <c r="M1591" s="752" t="s">
        <v>468</v>
      </c>
      <c r="N1591" s="752" t="s">
        <v>469</v>
      </c>
      <c r="O1591" s="752" t="s">
        <v>469</v>
      </c>
      <c r="P1591" s="752" t="s">
        <v>1238</v>
      </c>
      <c r="Q1591" s="753">
        <v>0</v>
      </c>
      <c r="R1591" s="753">
        <v>0</v>
      </c>
      <c r="S1591" s="753">
        <v>13249</v>
      </c>
      <c r="T1591" s="753">
        <v>13249</v>
      </c>
      <c r="U1591" s="753">
        <v>1488</v>
      </c>
      <c r="V1591" s="751">
        <v>2019</v>
      </c>
      <c r="W1591" s="222"/>
      <c r="X1591" s="186"/>
      <c r="Y1591" s="178" t="str">
        <f t="shared" si="78"/>
        <v/>
      </c>
      <c r="Z1591" s="178" t="str">
        <f t="shared" si="79"/>
        <v/>
      </c>
      <c r="AA1591" s="44"/>
      <c r="AB1591" s="65"/>
      <c r="AC1591" s="40"/>
    </row>
    <row r="1592" spans="1:29" ht="25" hidden="1">
      <c r="A1592" s="751">
        <v>60677</v>
      </c>
      <c r="B1592" s="752" t="s">
        <v>35</v>
      </c>
      <c r="C1592" s="751" t="s">
        <v>2960</v>
      </c>
      <c r="D1592" s="752" t="s">
        <v>2128</v>
      </c>
      <c r="E1592" s="752" t="s">
        <v>2129</v>
      </c>
      <c r="F1592" s="751">
        <v>60401</v>
      </c>
      <c r="G1592" s="752" t="s">
        <v>59</v>
      </c>
      <c r="H1592" s="752" t="s">
        <v>1244</v>
      </c>
      <c r="I1592" s="752" t="s">
        <v>1216</v>
      </c>
      <c r="J1592" s="751">
        <v>562212</v>
      </c>
      <c r="K1592" s="751">
        <v>4</v>
      </c>
      <c r="L1592" s="752" t="s">
        <v>422</v>
      </c>
      <c r="M1592" s="752" t="s">
        <v>468</v>
      </c>
      <c r="N1592" s="752" t="s">
        <v>469</v>
      </c>
      <c r="O1592" s="752" t="s">
        <v>469</v>
      </c>
      <c r="P1592" s="752" t="s">
        <v>1238</v>
      </c>
      <c r="Q1592" s="753">
        <v>0</v>
      </c>
      <c r="R1592" s="753">
        <v>0</v>
      </c>
      <c r="S1592" s="753">
        <v>23221</v>
      </c>
      <c r="T1592" s="753">
        <v>23221</v>
      </c>
      <c r="U1592" s="753">
        <v>2608</v>
      </c>
      <c r="V1592" s="751">
        <v>2019</v>
      </c>
      <c r="W1592" s="222"/>
      <c r="X1592" s="186"/>
      <c r="Y1592" s="178" t="str">
        <f t="shared" si="78"/>
        <v/>
      </c>
      <c r="Z1592" s="178" t="str">
        <f t="shared" si="79"/>
        <v/>
      </c>
      <c r="AA1592" s="44"/>
      <c r="AB1592" s="65"/>
      <c r="AC1592" s="40"/>
    </row>
    <row r="1593" spans="1:29">
      <c r="A1593" s="751">
        <v>60683</v>
      </c>
      <c r="B1593" s="752" t="s">
        <v>56</v>
      </c>
      <c r="C1593" s="751" t="s">
        <v>2960</v>
      </c>
      <c r="D1593" s="752" t="s">
        <v>2275</v>
      </c>
      <c r="E1593" s="752" t="s">
        <v>2276</v>
      </c>
      <c r="F1593" s="751">
        <v>60403</v>
      </c>
      <c r="G1593" s="752" t="s">
        <v>43</v>
      </c>
      <c r="H1593" s="752" t="s">
        <v>1245</v>
      </c>
      <c r="I1593" s="752" t="s">
        <v>60</v>
      </c>
      <c r="J1593" s="751">
        <v>22</v>
      </c>
      <c r="K1593" s="751">
        <v>3</v>
      </c>
      <c r="L1593" s="752" t="s">
        <v>57</v>
      </c>
      <c r="M1593" s="752" t="s">
        <v>1322</v>
      </c>
      <c r="N1593" s="752" t="s">
        <v>41</v>
      </c>
      <c r="O1593" s="752" t="s">
        <v>41</v>
      </c>
      <c r="P1593" s="752" t="s">
        <v>1091</v>
      </c>
      <c r="Q1593" s="753">
        <v>97860</v>
      </c>
      <c r="R1593" s="753">
        <v>97860</v>
      </c>
      <c r="S1593" s="753">
        <v>99133</v>
      </c>
      <c r="T1593" s="753">
        <v>99133</v>
      </c>
      <c r="U1593" s="753">
        <v>12029</v>
      </c>
      <c r="V1593" s="751">
        <v>2019</v>
      </c>
      <c r="W1593" s="222"/>
      <c r="X1593" s="186"/>
      <c r="Y1593" s="178" t="str">
        <f t="shared" si="78"/>
        <v/>
      </c>
      <c r="Z1593" s="178" t="str">
        <f t="shared" si="79"/>
        <v/>
      </c>
      <c r="AA1593" s="44"/>
      <c r="AB1593" s="65"/>
      <c r="AC1593" s="40"/>
    </row>
    <row r="1594" spans="1:29" hidden="1">
      <c r="A1594" s="751">
        <v>60700</v>
      </c>
      <c r="B1594" s="752" t="s">
        <v>35</v>
      </c>
      <c r="C1594" s="751" t="s">
        <v>2960</v>
      </c>
      <c r="D1594" s="752" t="s">
        <v>2130</v>
      </c>
      <c r="E1594" s="752" t="s">
        <v>2130</v>
      </c>
      <c r="F1594" s="751">
        <v>60430</v>
      </c>
      <c r="G1594" s="752" t="s">
        <v>43</v>
      </c>
      <c r="H1594" s="752" t="s">
        <v>1245</v>
      </c>
      <c r="I1594" s="752" t="s">
        <v>60</v>
      </c>
      <c r="J1594" s="751">
        <v>22</v>
      </c>
      <c r="K1594" s="751">
        <v>2</v>
      </c>
      <c r="L1594" s="752" t="s">
        <v>54</v>
      </c>
      <c r="M1594" s="752" t="s">
        <v>73</v>
      </c>
      <c r="N1594" s="752" t="s">
        <v>74</v>
      </c>
      <c r="O1594" s="752" t="s">
        <v>74</v>
      </c>
      <c r="P1594" s="752" t="s">
        <v>1238</v>
      </c>
      <c r="Q1594" s="753">
        <v>0</v>
      </c>
      <c r="R1594" s="753">
        <v>0</v>
      </c>
      <c r="S1594" s="753">
        <v>108764</v>
      </c>
      <c r="T1594" s="753">
        <v>108764</v>
      </c>
      <c r="U1594" s="753">
        <v>12215</v>
      </c>
      <c r="V1594" s="751">
        <v>2019</v>
      </c>
      <c r="W1594" s="222"/>
      <c r="X1594" s="186"/>
      <c r="Y1594" s="178" t="str">
        <f t="shared" si="78"/>
        <v/>
      </c>
      <c r="Z1594" s="178" t="str">
        <f t="shared" si="79"/>
        <v/>
      </c>
      <c r="AA1594" s="44"/>
      <c r="AB1594" s="65"/>
      <c r="AC1594" s="40"/>
    </row>
    <row r="1595" spans="1:29" hidden="1">
      <c r="A1595" s="751">
        <v>60710</v>
      </c>
      <c r="B1595" s="752" t="s">
        <v>35</v>
      </c>
      <c r="C1595" s="751" t="s">
        <v>2960</v>
      </c>
      <c r="D1595" s="752" t="s">
        <v>2491</v>
      </c>
      <c r="E1595" s="752" t="s">
        <v>2495</v>
      </c>
      <c r="F1595" s="751">
        <v>61944</v>
      </c>
      <c r="G1595" s="752" t="s">
        <v>83</v>
      </c>
      <c r="H1595" s="752" t="s">
        <v>1245</v>
      </c>
      <c r="I1595" s="752" t="s">
        <v>1216</v>
      </c>
      <c r="J1595" s="751">
        <v>22</v>
      </c>
      <c r="K1595" s="751">
        <v>2</v>
      </c>
      <c r="L1595" s="752" t="s">
        <v>54</v>
      </c>
      <c r="M1595" s="752" t="s">
        <v>468</v>
      </c>
      <c r="N1595" s="752" t="s">
        <v>469</v>
      </c>
      <c r="O1595" s="752" t="s">
        <v>469</v>
      </c>
      <c r="P1595" s="752" t="s">
        <v>1238</v>
      </c>
      <c r="Q1595" s="753">
        <v>0</v>
      </c>
      <c r="R1595" s="753">
        <v>0</v>
      </c>
      <c r="S1595" s="753">
        <v>28198</v>
      </c>
      <c r="T1595" s="753">
        <v>28198</v>
      </c>
      <c r="U1595" s="753">
        <v>3167</v>
      </c>
      <c r="V1595" s="751">
        <v>2019</v>
      </c>
      <c r="W1595" s="222"/>
      <c r="X1595" s="186"/>
      <c r="Y1595" s="178" t="str">
        <f t="shared" si="78"/>
        <v/>
      </c>
      <c r="Z1595" s="178" t="str">
        <f t="shared" si="79"/>
        <v/>
      </c>
      <c r="AA1595" s="44"/>
      <c r="AB1595" s="65"/>
      <c r="AC1595" s="40"/>
    </row>
    <row r="1596" spans="1:29" hidden="1">
      <c r="A1596" s="751">
        <v>60730</v>
      </c>
      <c r="B1596" s="752" t="s">
        <v>35</v>
      </c>
      <c r="C1596" s="751" t="s">
        <v>2960</v>
      </c>
      <c r="D1596" s="752" t="s">
        <v>2492</v>
      </c>
      <c r="E1596" s="752" t="s">
        <v>2495</v>
      </c>
      <c r="F1596" s="751">
        <v>61944</v>
      </c>
      <c r="G1596" s="752" t="s">
        <v>83</v>
      </c>
      <c r="H1596" s="752" t="s">
        <v>1245</v>
      </c>
      <c r="I1596" s="752" t="s">
        <v>1216</v>
      </c>
      <c r="J1596" s="751">
        <v>22</v>
      </c>
      <c r="K1596" s="751">
        <v>2</v>
      </c>
      <c r="L1596" s="752" t="s">
        <v>54</v>
      </c>
      <c r="M1596" s="752" t="s">
        <v>468</v>
      </c>
      <c r="N1596" s="752" t="s">
        <v>469</v>
      </c>
      <c r="O1596" s="752" t="s">
        <v>469</v>
      </c>
      <c r="P1596" s="752" t="s">
        <v>1238</v>
      </c>
      <c r="Q1596" s="753">
        <v>0</v>
      </c>
      <c r="R1596" s="753">
        <v>0</v>
      </c>
      <c r="S1596" s="753">
        <v>38830</v>
      </c>
      <c r="T1596" s="753">
        <v>38830</v>
      </c>
      <c r="U1596" s="753">
        <v>4361</v>
      </c>
      <c r="V1596" s="751">
        <v>2019</v>
      </c>
      <c r="W1596" s="222"/>
      <c r="X1596" s="186"/>
      <c r="Y1596" s="178" t="str">
        <f t="shared" si="78"/>
        <v/>
      </c>
      <c r="Z1596" s="178" t="str">
        <f t="shared" si="79"/>
        <v/>
      </c>
      <c r="AA1596" s="44"/>
      <c r="AB1596" s="65"/>
      <c r="AC1596" s="40"/>
    </row>
    <row r="1597" spans="1:29" hidden="1">
      <c r="A1597" s="751">
        <v>60731</v>
      </c>
      <c r="B1597" s="752" t="s">
        <v>35</v>
      </c>
      <c r="C1597" s="751" t="s">
        <v>2960</v>
      </c>
      <c r="D1597" s="752" t="s">
        <v>2493</v>
      </c>
      <c r="E1597" s="752" t="s">
        <v>2495</v>
      </c>
      <c r="F1597" s="751">
        <v>61944</v>
      </c>
      <c r="G1597" s="752" t="s">
        <v>83</v>
      </c>
      <c r="H1597" s="752" t="s">
        <v>1245</v>
      </c>
      <c r="I1597" s="752" t="s">
        <v>1216</v>
      </c>
      <c r="J1597" s="751">
        <v>22</v>
      </c>
      <c r="K1597" s="751">
        <v>2</v>
      </c>
      <c r="L1597" s="752" t="s">
        <v>54</v>
      </c>
      <c r="M1597" s="752" t="s">
        <v>468</v>
      </c>
      <c r="N1597" s="752" t="s">
        <v>469</v>
      </c>
      <c r="O1597" s="752" t="s">
        <v>469</v>
      </c>
      <c r="P1597" s="752" t="s">
        <v>1238</v>
      </c>
      <c r="Q1597" s="753">
        <v>0</v>
      </c>
      <c r="R1597" s="753">
        <v>0</v>
      </c>
      <c r="S1597" s="753">
        <v>12965</v>
      </c>
      <c r="T1597" s="753">
        <v>12965</v>
      </c>
      <c r="U1597" s="753">
        <v>1456</v>
      </c>
      <c r="V1597" s="751">
        <v>2019</v>
      </c>
      <c r="W1597" s="222"/>
      <c r="X1597" s="186"/>
      <c r="Y1597" s="86" t="str">
        <f t="shared" si="78"/>
        <v/>
      </c>
      <c r="Z1597" s="86" t="str">
        <f t="shared" si="79"/>
        <v/>
      </c>
      <c r="AA1597" s="44"/>
      <c r="AB1597" s="65"/>
      <c r="AC1597" s="40"/>
    </row>
    <row r="1598" spans="1:29" hidden="1">
      <c r="A1598" s="751">
        <v>60736</v>
      </c>
      <c r="B1598" s="752" t="s">
        <v>35</v>
      </c>
      <c r="C1598" s="751" t="s">
        <v>2960</v>
      </c>
      <c r="D1598" s="752" t="s">
        <v>2131</v>
      </c>
      <c r="E1598" s="752" t="s">
        <v>2047</v>
      </c>
      <c r="F1598" s="751">
        <v>56997</v>
      </c>
      <c r="G1598" s="752" t="s">
        <v>83</v>
      </c>
      <c r="H1598" s="752" t="s">
        <v>1245</v>
      </c>
      <c r="I1598" s="752" t="s">
        <v>1216</v>
      </c>
      <c r="J1598" s="751">
        <v>22</v>
      </c>
      <c r="K1598" s="751">
        <v>2</v>
      </c>
      <c r="L1598" s="752" t="s">
        <v>54</v>
      </c>
      <c r="M1598" s="752" t="s">
        <v>468</v>
      </c>
      <c r="N1598" s="752" t="s">
        <v>469</v>
      </c>
      <c r="O1598" s="752" t="s">
        <v>469</v>
      </c>
      <c r="P1598" s="752" t="s">
        <v>1238</v>
      </c>
      <c r="Q1598" s="753">
        <v>0</v>
      </c>
      <c r="R1598" s="753">
        <v>0</v>
      </c>
      <c r="S1598" s="753">
        <v>24060</v>
      </c>
      <c r="T1598" s="753">
        <v>24060</v>
      </c>
      <c r="U1598" s="753">
        <v>2702</v>
      </c>
      <c r="V1598" s="751">
        <v>2019</v>
      </c>
      <c r="W1598" s="222"/>
      <c r="X1598" s="186"/>
      <c r="Y1598" s="178" t="str">
        <f t="shared" si="78"/>
        <v/>
      </c>
      <c r="Z1598" s="178" t="str">
        <f t="shared" si="79"/>
        <v/>
      </c>
      <c r="AA1598" s="44"/>
      <c r="AB1598" s="65"/>
      <c r="AC1598" s="40"/>
    </row>
    <row r="1599" spans="1:29" hidden="1">
      <c r="A1599" s="751">
        <v>60738</v>
      </c>
      <c r="B1599" s="752" t="s">
        <v>35</v>
      </c>
      <c r="C1599" s="751" t="s">
        <v>2960</v>
      </c>
      <c r="D1599" s="752" t="s">
        <v>2494</v>
      </c>
      <c r="E1599" s="752" t="s">
        <v>2495</v>
      </c>
      <c r="F1599" s="751">
        <v>61944</v>
      </c>
      <c r="G1599" s="752" t="s">
        <v>83</v>
      </c>
      <c r="H1599" s="752" t="s">
        <v>1245</v>
      </c>
      <c r="I1599" s="752" t="s">
        <v>1216</v>
      </c>
      <c r="J1599" s="751">
        <v>22</v>
      </c>
      <c r="K1599" s="751">
        <v>2</v>
      </c>
      <c r="L1599" s="752" t="s">
        <v>54</v>
      </c>
      <c r="M1599" s="752" t="s">
        <v>468</v>
      </c>
      <c r="N1599" s="752" t="s">
        <v>469</v>
      </c>
      <c r="O1599" s="752" t="s">
        <v>469</v>
      </c>
      <c r="P1599" s="752" t="s">
        <v>1238</v>
      </c>
      <c r="Q1599" s="753">
        <v>0</v>
      </c>
      <c r="R1599" s="753">
        <v>0</v>
      </c>
      <c r="S1599" s="753">
        <v>24557</v>
      </c>
      <c r="T1599" s="753">
        <v>24557</v>
      </c>
      <c r="U1599" s="753">
        <v>2758</v>
      </c>
      <c r="V1599" s="751">
        <v>2019</v>
      </c>
      <c r="W1599" s="222"/>
      <c r="X1599" s="186"/>
      <c r="Y1599" s="178" t="str">
        <f t="shared" si="78"/>
        <v/>
      </c>
      <c r="Z1599" s="178" t="str">
        <f t="shared" si="79"/>
        <v/>
      </c>
      <c r="AA1599" s="44"/>
      <c r="AB1599" s="65"/>
      <c r="AC1599" s="40"/>
    </row>
    <row r="1600" spans="1:29" ht="25" hidden="1">
      <c r="A1600" s="751">
        <v>60753</v>
      </c>
      <c r="B1600" s="752" t="s">
        <v>35</v>
      </c>
      <c r="C1600" s="751" t="s">
        <v>2960</v>
      </c>
      <c r="D1600" s="752" t="s">
        <v>2277</v>
      </c>
      <c r="E1600" s="752" t="s">
        <v>2109</v>
      </c>
      <c r="F1600" s="751">
        <v>60281</v>
      </c>
      <c r="G1600" s="752" t="s">
        <v>83</v>
      </c>
      <c r="H1600" s="752" t="s">
        <v>1245</v>
      </c>
      <c r="I1600" s="752" t="s">
        <v>60</v>
      </c>
      <c r="J1600" s="751">
        <v>22</v>
      </c>
      <c r="K1600" s="751">
        <v>2</v>
      </c>
      <c r="L1600" s="752" t="s">
        <v>54</v>
      </c>
      <c r="M1600" s="752" t="s">
        <v>468</v>
      </c>
      <c r="N1600" s="752" t="s">
        <v>469</v>
      </c>
      <c r="O1600" s="752" t="s">
        <v>469</v>
      </c>
      <c r="P1600" s="752" t="s">
        <v>1238</v>
      </c>
      <c r="Q1600" s="753">
        <v>0</v>
      </c>
      <c r="R1600" s="753">
        <v>0</v>
      </c>
      <c r="S1600" s="753">
        <v>13892</v>
      </c>
      <c r="T1600" s="753">
        <v>13892</v>
      </c>
      <c r="U1600" s="753">
        <v>1560</v>
      </c>
      <c r="V1600" s="751">
        <v>2019</v>
      </c>
      <c r="W1600" s="222"/>
      <c r="X1600" s="186"/>
      <c r="Y1600" s="178" t="str">
        <f t="shared" si="78"/>
        <v/>
      </c>
      <c r="Z1600" s="178" t="str">
        <f t="shared" si="79"/>
        <v/>
      </c>
      <c r="AA1600" s="44"/>
      <c r="AB1600" s="65"/>
      <c r="AC1600" s="40"/>
    </row>
    <row r="1601" spans="1:29" ht="25" hidden="1">
      <c r="A1601" s="751">
        <v>60754</v>
      </c>
      <c r="B1601" s="752" t="s">
        <v>35</v>
      </c>
      <c r="C1601" s="751" t="s">
        <v>2960</v>
      </c>
      <c r="D1601" s="752" t="s">
        <v>2278</v>
      </c>
      <c r="E1601" s="752" t="s">
        <v>2109</v>
      </c>
      <c r="F1601" s="751">
        <v>60281</v>
      </c>
      <c r="G1601" s="752" t="s">
        <v>83</v>
      </c>
      <c r="H1601" s="752" t="s">
        <v>1245</v>
      </c>
      <c r="I1601" s="752" t="s">
        <v>60</v>
      </c>
      <c r="J1601" s="751">
        <v>22</v>
      </c>
      <c r="K1601" s="751">
        <v>2</v>
      </c>
      <c r="L1601" s="752" t="s">
        <v>54</v>
      </c>
      <c r="M1601" s="752" t="s">
        <v>468</v>
      </c>
      <c r="N1601" s="752" t="s">
        <v>469</v>
      </c>
      <c r="O1601" s="752" t="s">
        <v>469</v>
      </c>
      <c r="P1601" s="752" t="s">
        <v>1238</v>
      </c>
      <c r="Q1601" s="753">
        <v>0</v>
      </c>
      <c r="R1601" s="753">
        <v>0</v>
      </c>
      <c r="S1601" s="753">
        <v>15207</v>
      </c>
      <c r="T1601" s="753">
        <v>15207</v>
      </c>
      <c r="U1601" s="753">
        <v>1708</v>
      </c>
      <c r="V1601" s="751">
        <v>2019</v>
      </c>
      <c r="W1601" s="222"/>
      <c r="X1601" s="186"/>
      <c r="Y1601" s="178" t="str">
        <f t="shared" si="78"/>
        <v/>
      </c>
      <c r="Z1601" s="178" t="str">
        <f t="shared" si="79"/>
        <v/>
      </c>
      <c r="AA1601" s="44"/>
      <c r="AB1601" s="65"/>
      <c r="AC1601" s="40"/>
    </row>
    <row r="1602" spans="1:29" ht="25" hidden="1">
      <c r="A1602" s="751">
        <v>60756</v>
      </c>
      <c r="B1602" s="752" t="s">
        <v>35</v>
      </c>
      <c r="C1602" s="751" t="s">
        <v>2960</v>
      </c>
      <c r="D1602" s="752" t="s">
        <v>2132</v>
      </c>
      <c r="E1602" s="752" t="s">
        <v>2109</v>
      </c>
      <c r="F1602" s="751">
        <v>60281</v>
      </c>
      <c r="G1602" s="752" t="s">
        <v>83</v>
      </c>
      <c r="H1602" s="752" t="s">
        <v>1245</v>
      </c>
      <c r="I1602" s="752" t="s">
        <v>60</v>
      </c>
      <c r="J1602" s="751">
        <v>22</v>
      </c>
      <c r="K1602" s="751">
        <v>2</v>
      </c>
      <c r="L1602" s="752" t="s">
        <v>54</v>
      </c>
      <c r="M1602" s="752" t="s">
        <v>468</v>
      </c>
      <c r="N1602" s="752" t="s">
        <v>469</v>
      </c>
      <c r="O1602" s="752" t="s">
        <v>469</v>
      </c>
      <c r="P1602" s="752" t="s">
        <v>1238</v>
      </c>
      <c r="Q1602" s="753">
        <v>0</v>
      </c>
      <c r="R1602" s="753">
        <v>0</v>
      </c>
      <c r="S1602" s="753">
        <v>38616</v>
      </c>
      <c r="T1602" s="753">
        <v>38616</v>
      </c>
      <c r="U1602" s="753">
        <v>4337</v>
      </c>
      <c r="V1602" s="751">
        <v>2019</v>
      </c>
      <c r="W1602" s="222"/>
      <c r="X1602" s="186"/>
      <c r="Y1602" s="178" t="str">
        <f t="shared" si="78"/>
        <v/>
      </c>
      <c r="Z1602" s="178" t="str">
        <f t="shared" si="79"/>
        <v/>
      </c>
      <c r="AA1602" s="44"/>
      <c r="AB1602" s="65"/>
      <c r="AC1602" s="40"/>
    </row>
    <row r="1603" spans="1:29" ht="25" hidden="1">
      <c r="A1603" s="751">
        <v>60757</v>
      </c>
      <c r="B1603" s="752" t="s">
        <v>35</v>
      </c>
      <c r="C1603" s="751" t="s">
        <v>2960</v>
      </c>
      <c r="D1603" s="752" t="s">
        <v>2279</v>
      </c>
      <c r="E1603" s="752" t="s">
        <v>2109</v>
      </c>
      <c r="F1603" s="751">
        <v>60281</v>
      </c>
      <c r="G1603" s="752" t="s">
        <v>83</v>
      </c>
      <c r="H1603" s="752" t="s">
        <v>1245</v>
      </c>
      <c r="I1603" s="752" t="s">
        <v>60</v>
      </c>
      <c r="J1603" s="751">
        <v>22</v>
      </c>
      <c r="K1603" s="751">
        <v>2</v>
      </c>
      <c r="L1603" s="752" t="s">
        <v>54</v>
      </c>
      <c r="M1603" s="752" t="s">
        <v>468</v>
      </c>
      <c r="N1603" s="752" t="s">
        <v>469</v>
      </c>
      <c r="O1603" s="752" t="s">
        <v>469</v>
      </c>
      <c r="P1603" s="752" t="s">
        <v>1238</v>
      </c>
      <c r="Q1603" s="753">
        <v>0</v>
      </c>
      <c r="R1603" s="753">
        <v>0</v>
      </c>
      <c r="S1603" s="753">
        <v>39364</v>
      </c>
      <c r="T1603" s="753">
        <v>39364</v>
      </c>
      <c r="U1603" s="753">
        <v>4421</v>
      </c>
      <c r="V1603" s="751">
        <v>2019</v>
      </c>
      <c r="W1603" s="222"/>
      <c r="X1603" s="186"/>
      <c r="Y1603" s="178" t="str">
        <f t="shared" si="78"/>
        <v/>
      </c>
      <c r="Z1603" s="178" t="str">
        <f t="shared" si="79"/>
        <v/>
      </c>
      <c r="AA1603" s="44"/>
      <c r="AB1603" s="65"/>
      <c r="AC1603" s="40"/>
    </row>
    <row r="1604" spans="1:29" hidden="1">
      <c r="A1604" s="751">
        <v>60775</v>
      </c>
      <c r="B1604" s="752" t="s">
        <v>35</v>
      </c>
      <c r="C1604" s="751" t="s">
        <v>2960</v>
      </c>
      <c r="D1604" s="752" t="s">
        <v>2280</v>
      </c>
      <c r="E1604" s="752" t="s">
        <v>2281</v>
      </c>
      <c r="F1604" s="751">
        <v>60461</v>
      </c>
      <c r="G1604" s="752" t="s">
        <v>83</v>
      </c>
      <c r="H1604" s="752" t="s">
        <v>1245</v>
      </c>
      <c r="I1604" s="752" t="s">
        <v>60</v>
      </c>
      <c r="J1604" s="751">
        <v>22</v>
      </c>
      <c r="K1604" s="751">
        <v>2</v>
      </c>
      <c r="L1604" s="752" t="s">
        <v>54</v>
      </c>
      <c r="M1604" s="752" t="s">
        <v>468</v>
      </c>
      <c r="N1604" s="752" t="s">
        <v>469</v>
      </c>
      <c r="O1604" s="752" t="s">
        <v>469</v>
      </c>
      <c r="P1604" s="752" t="s">
        <v>1238</v>
      </c>
      <c r="Q1604" s="753">
        <v>0</v>
      </c>
      <c r="R1604" s="753">
        <v>0</v>
      </c>
      <c r="S1604" s="753">
        <v>29552</v>
      </c>
      <c r="T1604" s="753">
        <v>29552</v>
      </c>
      <c r="U1604" s="753">
        <v>3319</v>
      </c>
      <c r="V1604" s="751">
        <v>2019</v>
      </c>
      <c r="W1604" s="222"/>
      <c r="X1604" s="186"/>
      <c r="Y1604" s="178" t="str">
        <f t="shared" si="78"/>
        <v/>
      </c>
      <c r="Z1604" s="178" t="str">
        <f t="shared" si="79"/>
        <v/>
      </c>
      <c r="AA1604" s="44"/>
      <c r="AB1604" s="65"/>
      <c r="AC1604" s="40"/>
    </row>
    <row r="1605" spans="1:29" hidden="1">
      <c r="A1605" s="751">
        <v>60799</v>
      </c>
      <c r="B1605" s="752" t="s">
        <v>35</v>
      </c>
      <c r="C1605" s="751" t="s">
        <v>2960</v>
      </c>
      <c r="D1605" s="752" t="s">
        <v>2282</v>
      </c>
      <c r="E1605" s="752" t="s">
        <v>2282</v>
      </c>
      <c r="F1605" s="751">
        <v>60479</v>
      </c>
      <c r="G1605" s="752" t="s">
        <v>83</v>
      </c>
      <c r="H1605" s="752" t="s">
        <v>1245</v>
      </c>
      <c r="I1605" s="752" t="s">
        <v>60</v>
      </c>
      <c r="J1605" s="751">
        <v>22</v>
      </c>
      <c r="K1605" s="751">
        <v>2</v>
      </c>
      <c r="L1605" s="752" t="s">
        <v>54</v>
      </c>
      <c r="M1605" s="752" t="s">
        <v>468</v>
      </c>
      <c r="N1605" s="752" t="s">
        <v>469</v>
      </c>
      <c r="O1605" s="752" t="s">
        <v>469</v>
      </c>
      <c r="P1605" s="752" t="s">
        <v>1238</v>
      </c>
      <c r="Q1605" s="753">
        <v>0</v>
      </c>
      <c r="R1605" s="753">
        <v>0</v>
      </c>
      <c r="S1605" s="753">
        <v>66121</v>
      </c>
      <c r="T1605" s="753">
        <v>66121</v>
      </c>
      <c r="U1605" s="753">
        <v>7426</v>
      </c>
      <c r="V1605" s="751">
        <v>2019</v>
      </c>
      <c r="W1605" s="222"/>
      <c r="X1605" s="186"/>
      <c r="Y1605" s="178" t="str">
        <f t="shared" si="78"/>
        <v/>
      </c>
      <c r="Z1605" s="178" t="str">
        <f t="shared" si="79"/>
        <v/>
      </c>
      <c r="AA1605" s="44"/>
      <c r="AB1605" s="65"/>
      <c r="AC1605" s="40"/>
    </row>
    <row r="1606" spans="1:29" ht="25" hidden="1">
      <c r="A1606" s="751">
        <v>60815</v>
      </c>
      <c r="B1606" s="752" t="s">
        <v>35</v>
      </c>
      <c r="C1606" s="751" t="s">
        <v>2960</v>
      </c>
      <c r="D1606" s="752" t="s">
        <v>2992</v>
      </c>
      <c r="E1606" s="752" t="s">
        <v>2040</v>
      </c>
      <c r="F1606" s="751">
        <v>60947</v>
      </c>
      <c r="G1606" s="752" t="s">
        <v>83</v>
      </c>
      <c r="H1606" s="752" t="s">
        <v>1245</v>
      </c>
      <c r="I1606" s="752" t="s">
        <v>60</v>
      </c>
      <c r="J1606" s="751">
        <v>22</v>
      </c>
      <c r="K1606" s="751">
        <v>2</v>
      </c>
      <c r="L1606" s="752" t="s">
        <v>54</v>
      </c>
      <c r="M1606" s="752" t="s">
        <v>2001</v>
      </c>
      <c r="N1606" s="752" t="s">
        <v>1107</v>
      </c>
      <c r="O1606" s="752" t="s">
        <v>84</v>
      </c>
      <c r="P1606" s="752" t="s">
        <v>2961</v>
      </c>
      <c r="Q1606" s="753">
        <v>0</v>
      </c>
      <c r="R1606" s="753">
        <v>0</v>
      </c>
      <c r="S1606" s="753">
        <v>0</v>
      </c>
      <c r="T1606" s="753">
        <v>0</v>
      </c>
      <c r="U1606" s="753">
        <v>0</v>
      </c>
      <c r="V1606" s="751">
        <v>2019</v>
      </c>
      <c r="W1606" s="222"/>
      <c r="X1606" s="186"/>
      <c r="Y1606" s="178" t="str">
        <f t="shared" si="78"/>
        <v/>
      </c>
      <c r="Z1606" s="178" t="str">
        <f t="shared" si="79"/>
        <v/>
      </c>
      <c r="AA1606" s="44"/>
      <c r="AB1606" s="65"/>
      <c r="AC1606" s="40"/>
    </row>
    <row r="1607" spans="1:29" hidden="1">
      <c r="A1607" s="751">
        <v>60815</v>
      </c>
      <c r="B1607" s="752" t="s">
        <v>35</v>
      </c>
      <c r="C1607" s="751" t="s">
        <v>2960</v>
      </c>
      <c r="D1607" s="752" t="s">
        <v>2992</v>
      </c>
      <c r="E1607" s="752" t="s">
        <v>2040</v>
      </c>
      <c r="F1607" s="751">
        <v>60947</v>
      </c>
      <c r="G1607" s="752" t="s">
        <v>83</v>
      </c>
      <c r="H1607" s="752" t="s">
        <v>1245</v>
      </c>
      <c r="I1607" s="752" t="s">
        <v>60</v>
      </c>
      <c r="J1607" s="751">
        <v>22</v>
      </c>
      <c r="K1607" s="751">
        <v>2</v>
      </c>
      <c r="L1607" s="752" t="s">
        <v>54</v>
      </c>
      <c r="M1607" s="752" t="s">
        <v>468</v>
      </c>
      <c r="N1607" s="752" t="s">
        <v>469</v>
      </c>
      <c r="O1607" s="752" t="s">
        <v>469</v>
      </c>
      <c r="P1607" s="752" t="s">
        <v>1238</v>
      </c>
      <c r="Q1607" s="753">
        <v>0</v>
      </c>
      <c r="R1607" s="753">
        <v>0</v>
      </c>
      <c r="S1607" s="753">
        <v>42421</v>
      </c>
      <c r="T1607" s="753">
        <v>42421</v>
      </c>
      <c r="U1607" s="753">
        <v>4764</v>
      </c>
      <c r="V1607" s="751">
        <v>2019</v>
      </c>
      <c r="W1607" s="222"/>
      <c r="X1607" s="186"/>
      <c r="Y1607" s="178" t="str">
        <f t="shared" ref="Y1607:Y1670" si="80">IF(AND($M1607=$Y$2,$N1607=$Y$3,NOT($Q1607=$R1607),NOT($U1607=0)),IF($K1607=5,$S1607/($U1607+(8/5)*$U1607),IF($K1607=7,$S1607/($U1607+(29/25)*$U1607),"")),"")</f>
        <v/>
      </c>
      <c r="Z1607" s="178" t="str">
        <f t="shared" ref="Z1607:Z1670" si="81">IF(AND($M1607=$Y$2,$N1607=$Y$4,NOT($Q1607=$R1607),NOT($U1607=0)),IF($K1607=5,$S1607/($U1607+(8/5)*$U1607),IF($K1607=7,$S1607/($U1607+(29/25)*$U1607),"")),"")</f>
        <v/>
      </c>
      <c r="AA1607" s="44"/>
      <c r="AB1607" s="65"/>
      <c r="AC1607" s="40"/>
    </row>
    <row r="1608" spans="1:29" hidden="1">
      <c r="A1608" s="751">
        <v>60816</v>
      </c>
      <c r="B1608" s="752" t="s">
        <v>35</v>
      </c>
      <c r="C1608" s="751" t="s">
        <v>2960</v>
      </c>
      <c r="D1608" s="752" t="s">
        <v>2283</v>
      </c>
      <c r="E1608" s="752" t="s">
        <v>2284</v>
      </c>
      <c r="F1608" s="751">
        <v>61132</v>
      </c>
      <c r="G1608" s="752" t="s">
        <v>83</v>
      </c>
      <c r="H1608" s="752" t="s">
        <v>1245</v>
      </c>
      <c r="I1608" s="752" t="s">
        <v>60</v>
      </c>
      <c r="J1608" s="751">
        <v>22</v>
      </c>
      <c r="K1608" s="751">
        <v>2</v>
      </c>
      <c r="L1608" s="752" t="s">
        <v>54</v>
      </c>
      <c r="M1608" s="752" t="s">
        <v>468</v>
      </c>
      <c r="N1608" s="752" t="s">
        <v>469</v>
      </c>
      <c r="O1608" s="752" t="s">
        <v>469</v>
      </c>
      <c r="P1608" s="752" t="s">
        <v>1238</v>
      </c>
      <c r="Q1608" s="753">
        <v>0</v>
      </c>
      <c r="R1608" s="753">
        <v>0</v>
      </c>
      <c r="S1608" s="753">
        <v>22305</v>
      </c>
      <c r="T1608" s="753">
        <v>22305</v>
      </c>
      <c r="U1608" s="753">
        <v>2505</v>
      </c>
      <c r="V1608" s="751">
        <v>2019</v>
      </c>
      <c r="W1608" s="222"/>
      <c r="X1608" s="186"/>
      <c r="Y1608" s="178" t="str">
        <f t="shared" si="80"/>
        <v/>
      </c>
      <c r="Z1608" s="178" t="str">
        <f t="shared" si="81"/>
        <v/>
      </c>
      <c r="AA1608" s="44"/>
      <c r="AB1608" s="65"/>
      <c r="AC1608" s="40"/>
    </row>
    <row r="1609" spans="1:29" hidden="1">
      <c r="A1609" s="751">
        <v>60817</v>
      </c>
      <c r="B1609" s="752" t="s">
        <v>35</v>
      </c>
      <c r="C1609" s="751" t="s">
        <v>2960</v>
      </c>
      <c r="D1609" s="752" t="s">
        <v>2133</v>
      </c>
      <c r="E1609" s="752" t="s">
        <v>2040</v>
      </c>
      <c r="F1609" s="751">
        <v>60947</v>
      </c>
      <c r="G1609" s="752" t="s">
        <v>59</v>
      </c>
      <c r="H1609" s="752" t="s">
        <v>1244</v>
      </c>
      <c r="I1609" s="752" t="s">
        <v>60</v>
      </c>
      <c r="J1609" s="751">
        <v>22</v>
      </c>
      <c r="K1609" s="751">
        <v>2</v>
      </c>
      <c r="L1609" s="752" t="s">
        <v>54</v>
      </c>
      <c r="M1609" s="752" t="s">
        <v>468</v>
      </c>
      <c r="N1609" s="752" t="s">
        <v>469</v>
      </c>
      <c r="O1609" s="752" t="s">
        <v>469</v>
      </c>
      <c r="P1609" s="752" t="s">
        <v>1238</v>
      </c>
      <c r="Q1609" s="753">
        <v>0</v>
      </c>
      <c r="R1609" s="753">
        <v>0</v>
      </c>
      <c r="S1609" s="753">
        <v>21611</v>
      </c>
      <c r="T1609" s="753">
        <v>21611</v>
      </c>
      <c r="U1609" s="753">
        <v>2427</v>
      </c>
      <c r="V1609" s="751">
        <v>2019</v>
      </c>
      <c r="W1609" s="222"/>
      <c r="X1609" s="186"/>
      <c r="Y1609" s="178" t="str">
        <f t="shared" si="80"/>
        <v/>
      </c>
      <c r="Z1609" s="178" t="str">
        <f t="shared" si="81"/>
        <v/>
      </c>
      <c r="AA1609" s="44"/>
      <c r="AB1609" s="65"/>
      <c r="AC1609" s="40"/>
    </row>
    <row r="1610" spans="1:29" hidden="1">
      <c r="A1610" s="751">
        <v>60818</v>
      </c>
      <c r="B1610" s="752" t="s">
        <v>35</v>
      </c>
      <c r="C1610" s="751" t="s">
        <v>2960</v>
      </c>
      <c r="D1610" s="752" t="s">
        <v>2134</v>
      </c>
      <c r="E1610" s="752" t="s">
        <v>2040</v>
      </c>
      <c r="F1610" s="751">
        <v>60947</v>
      </c>
      <c r="G1610" s="752" t="s">
        <v>59</v>
      </c>
      <c r="H1610" s="752" t="s">
        <v>1244</v>
      </c>
      <c r="I1610" s="752" t="s">
        <v>60</v>
      </c>
      <c r="J1610" s="751">
        <v>22</v>
      </c>
      <c r="K1610" s="751">
        <v>2</v>
      </c>
      <c r="L1610" s="752" t="s">
        <v>54</v>
      </c>
      <c r="M1610" s="752" t="s">
        <v>468</v>
      </c>
      <c r="N1610" s="752" t="s">
        <v>469</v>
      </c>
      <c r="O1610" s="752" t="s">
        <v>469</v>
      </c>
      <c r="P1610" s="752" t="s">
        <v>1238</v>
      </c>
      <c r="Q1610" s="753">
        <v>0</v>
      </c>
      <c r="R1610" s="753">
        <v>0</v>
      </c>
      <c r="S1610" s="753">
        <v>15893</v>
      </c>
      <c r="T1610" s="753">
        <v>15893</v>
      </c>
      <c r="U1610" s="753">
        <v>1785</v>
      </c>
      <c r="V1610" s="751">
        <v>2019</v>
      </c>
      <c r="W1610" s="222"/>
      <c r="X1610" s="186"/>
      <c r="Y1610" s="178" t="str">
        <f t="shared" si="80"/>
        <v/>
      </c>
      <c r="Z1610" s="178" t="str">
        <f t="shared" si="81"/>
        <v/>
      </c>
      <c r="AA1610" s="44"/>
      <c r="AB1610" s="65"/>
      <c r="AC1610" s="40"/>
    </row>
    <row r="1611" spans="1:29" hidden="1">
      <c r="A1611" s="751">
        <v>60819</v>
      </c>
      <c r="B1611" s="752" t="s">
        <v>35</v>
      </c>
      <c r="C1611" s="751" t="s">
        <v>2960</v>
      </c>
      <c r="D1611" s="752" t="s">
        <v>2285</v>
      </c>
      <c r="E1611" s="752" t="s">
        <v>2286</v>
      </c>
      <c r="F1611" s="751">
        <v>61060</v>
      </c>
      <c r="G1611" s="752" t="s">
        <v>59</v>
      </c>
      <c r="H1611" s="752" t="s">
        <v>1244</v>
      </c>
      <c r="I1611" s="752" t="s">
        <v>60</v>
      </c>
      <c r="J1611" s="751">
        <v>22</v>
      </c>
      <c r="K1611" s="751">
        <v>2</v>
      </c>
      <c r="L1611" s="752" t="s">
        <v>54</v>
      </c>
      <c r="M1611" s="752" t="s">
        <v>468</v>
      </c>
      <c r="N1611" s="752" t="s">
        <v>469</v>
      </c>
      <c r="O1611" s="752" t="s">
        <v>469</v>
      </c>
      <c r="P1611" s="752" t="s">
        <v>1238</v>
      </c>
      <c r="Q1611" s="753">
        <v>0</v>
      </c>
      <c r="R1611" s="753">
        <v>0</v>
      </c>
      <c r="S1611" s="753">
        <v>23763</v>
      </c>
      <c r="T1611" s="753">
        <v>23763</v>
      </c>
      <c r="U1611" s="753">
        <v>2669</v>
      </c>
      <c r="V1611" s="751">
        <v>2019</v>
      </c>
      <c r="W1611" s="222"/>
      <c r="X1611" s="186"/>
      <c r="Y1611" s="178" t="str">
        <f t="shared" si="80"/>
        <v/>
      </c>
      <c r="Z1611" s="178" t="str">
        <f t="shared" si="81"/>
        <v/>
      </c>
      <c r="AA1611" s="44"/>
      <c r="AB1611" s="65"/>
      <c r="AC1611" s="40"/>
    </row>
    <row r="1612" spans="1:29" ht="25" hidden="1">
      <c r="A1612" s="751">
        <v>60831</v>
      </c>
      <c r="B1612" s="752" t="s">
        <v>35</v>
      </c>
      <c r="C1612" s="751" t="s">
        <v>2960</v>
      </c>
      <c r="D1612" s="752" t="s">
        <v>2287</v>
      </c>
      <c r="E1612" s="752" t="s">
        <v>2288</v>
      </c>
      <c r="F1612" s="751">
        <v>61249</v>
      </c>
      <c r="G1612" s="752" t="s">
        <v>136</v>
      </c>
      <c r="H1612" s="752" t="s">
        <v>1245</v>
      </c>
      <c r="I1612" s="752" t="s">
        <v>60</v>
      </c>
      <c r="J1612" s="751">
        <v>22</v>
      </c>
      <c r="K1612" s="751">
        <v>2</v>
      </c>
      <c r="L1612" s="752" t="s">
        <v>54</v>
      </c>
      <c r="M1612" s="752" t="s">
        <v>53</v>
      </c>
      <c r="N1612" s="752" t="s">
        <v>70</v>
      </c>
      <c r="O1612" s="752" t="s">
        <v>51</v>
      </c>
      <c r="P1612" s="752" t="s">
        <v>42</v>
      </c>
      <c r="Q1612" s="753">
        <v>0</v>
      </c>
      <c r="R1612" s="753">
        <v>0</v>
      </c>
      <c r="S1612" s="753">
        <v>0</v>
      </c>
      <c r="T1612" s="753">
        <v>0</v>
      </c>
      <c r="U1612" s="753">
        <v>0</v>
      </c>
      <c r="V1612" s="751">
        <v>2019</v>
      </c>
      <c r="W1612" s="222"/>
      <c r="X1612" s="186"/>
      <c r="Y1612" s="178" t="str">
        <f t="shared" si="80"/>
        <v/>
      </c>
      <c r="Z1612" s="178" t="str">
        <f t="shared" si="81"/>
        <v/>
      </c>
      <c r="AA1612" s="44"/>
      <c r="AB1612" s="65"/>
      <c r="AC1612" s="40"/>
    </row>
    <row r="1613" spans="1:29" hidden="1">
      <c r="A1613" s="751">
        <v>60851</v>
      </c>
      <c r="B1613" s="752" t="s">
        <v>35</v>
      </c>
      <c r="C1613" s="751" t="s">
        <v>2960</v>
      </c>
      <c r="D1613" s="752" t="s">
        <v>2496</v>
      </c>
      <c r="E1613" s="752" t="s">
        <v>2497</v>
      </c>
      <c r="F1613" s="751">
        <v>61561</v>
      </c>
      <c r="G1613" s="752" t="s">
        <v>83</v>
      </c>
      <c r="H1613" s="752" t="s">
        <v>1245</v>
      </c>
      <c r="I1613" s="752" t="s">
        <v>60</v>
      </c>
      <c r="J1613" s="751">
        <v>22</v>
      </c>
      <c r="K1613" s="751">
        <v>2</v>
      </c>
      <c r="L1613" s="752" t="s">
        <v>54</v>
      </c>
      <c r="M1613" s="752" t="s">
        <v>468</v>
      </c>
      <c r="N1613" s="752" t="s">
        <v>469</v>
      </c>
      <c r="O1613" s="752" t="s">
        <v>469</v>
      </c>
      <c r="P1613" s="752" t="s">
        <v>1238</v>
      </c>
      <c r="Q1613" s="753">
        <v>0</v>
      </c>
      <c r="R1613" s="753">
        <v>0</v>
      </c>
      <c r="S1613" s="753">
        <v>30603</v>
      </c>
      <c r="T1613" s="753">
        <v>30603</v>
      </c>
      <c r="U1613" s="753">
        <v>3437</v>
      </c>
      <c r="V1613" s="751">
        <v>2019</v>
      </c>
      <c r="W1613" s="222"/>
      <c r="X1613" s="186"/>
      <c r="Y1613" s="178" t="str">
        <f t="shared" si="80"/>
        <v/>
      </c>
      <c r="Z1613" s="178" t="str">
        <f t="shared" si="81"/>
        <v/>
      </c>
      <c r="AA1613" s="44"/>
      <c r="AB1613" s="65"/>
      <c r="AC1613" s="40"/>
    </row>
    <row r="1614" spans="1:29" hidden="1">
      <c r="A1614" s="751">
        <v>60852</v>
      </c>
      <c r="B1614" s="752" t="s">
        <v>35</v>
      </c>
      <c r="C1614" s="751" t="s">
        <v>2960</v>
      </c>
      <c r="D1614" s="752" t="s">
        <v>2498</v>
      </c>
      <c r="E1614" s="752" t="s">
        <v>2497</v>
      </c>
      <c r="F1614" s="751">
        <v>61561</v>
      </c>
      <c r="G1614" s="752" t="s">
        <v>83</v>
      </c>
      <c r="H1614" s="752" t="s">
        <v>1245</v>
      </c>
      <c r="I1614" s="752" t="s">
        <v>60</v>
      </c>
      <c r="J1614" s="751">
        <v>22</v>
      </c>
      <c r="K1614" s="751">
        <v>2</v>
      </c>
      <c r="L1614" s="752" t="s">
        <v>54</v>
      </c>
      <c r="M1614" s="752" t="s">
        <v>468</v>
      </c>
      <c r="N1614" s="752" t="s">
        <v>469</v>
      </c>
      <c r="O1614" s="752" t="s">
        <v>469</v>
      </c>
      <c r="P1614" s="752" t="s">
        <v>1238</v>
      </c>
      <c r="Q1614" s="753">
        <v>0</v>
      </c>
      <c r="R1614" s="753">
        <v>0</v>
      </c>
      <c r="S1614" s="753">
        <v>30159</v>
      </c>
      <c r="T1614" s="753">
        <v>30159</v>
      </c>
      <c r="U1614" s="753">
        <v>3387</v>
      </c>
      <c r="V1614" s="751">
        <v>2019</v>
      </c>
      <c r="W1614" s="222"/>
      <c r="X1614" s="186"/>
      <c r="Y1614" s="178" t="str">
        <f t="shared" si="80"/>
        <v/>
      </c>
      <c r="Z1614" s="178" t="str">
        <f t="shared" si="81"/>
        <v/>
      </c>
      <c r="AA1614" s="44"/>
      <c r="AB1614" s="65"/>
      <c r="AC1614" s="40"/>
    </row>
    <row r="1615" spans="1:29" hidden="1">
      <c r="A1615" s="751">
        <v>60854</v>
      </c>
      <c r="B1615" s="752" t="s">
        <v>35</v>
      </c>
      <c r="C1615" s="751" t="s">
        <v>2960</v>
      </c>
      <c r="D1615" s="752" t="s">
        <v>2289</v>
      </c>
      <c r="E1615" s="752" t="s">
        <v>2290</v>
      </c>
      <c r="F1615" s="751">
        <v>60513</v>
      </c>
      <c r="G1615" s="752" t="s">
        <v>83</v>
      </c>
      <c r="H1615" s="752" t="s">
        <v>1245</v>
      </c>
      <c r="I1615" s="752" t="s">
        <v>60</v>
      </c>
      <c r="J1615" s="751">
        <v>22</v>
      </c>
      <c r="K1615" s="751">
        <v>2</v>
      </c>
      <c r="L1615" s="752" t="s">
        <v>54</v>
      </c>
      <c r="M1615" s="752" t="s">
        <v>468</v>
      </c>
      <c r="N1615" s="752" t="s">
        <v>469</v>
      </c>
      <c r="O1615" s="752" t="s">
        <v>469</v>
      </c>
      <c r="P1615" s="752" t="s">
        <v>1238</v>
      </c>
      <c r="Q1615" s="753">
        <v>0</v>
      </c>
      <c r="R1615" s="753">
        <v>0</v>
      </c>
      <c r="S1615" s="753">
        <v>51172</v>
      </c>
      <c r="T1615" s="753">
        <v>51172</v>
      </c>
      <c r="U1615" s="753">
        <v>5747</v>
      </c>
      <c r="V1615" s="751">
        <v>2019</v>
      </c>
      <c r="W1615" s="222"/>
      <c r="X1615" s="186"/>
      <c r="Y1615" s="178" t="str">
        <f t="shared" si="80"/>
        <v/>
      </c>
      <c r="Z1615" s="178" t="str">
        <f t="shared" si="81"/>
        <v/>
      </c>
      <c r="AA1615" s="44"/>
      <c r="AB1615" s="65"/>
      <c r="AC1615" s="40"/>
    </row>
    <row r="1616" spans="1:29" hidden="1">
      <c r="A1616" s="751">
        <v>60855</v>
      </c>
      <c r="B1616" s="752" t="s">
        <v>35</v>
      </c>
      <c r="C1616" s="751" t="s">
        <v>2960</v>
      </c>
      <c r="D1616" s="752" t="s">
        <v>2135</v>
      </c>
      <c r="E1616" s="752" t="s">
        <v>2136</v>
      </c>
      <c r="F1616" s="751">
        <v>60514</v>
      </c>
      <c r="G1616" s="752" t="s">
        <v>83</v>
      </c>
      <c r="H1616" s="752" t="s">
        <v>1245</v>
      </c>
      <c r="I1616" s="752" t="s">
        <v>60</v>
      </c>
      <c r="J1616" s="751">
        <v>22</v>
      </c>
      <c r="K1616" s="751">
        <v>2</v>
      </c>
      <c r="L1616" s="752" t="s">
        <v>54</v>
      </c>
      <c r="M1616" s="752" t="s">
        <v>468</v>
      </c>
      <c r="N1616" s="752" t="s">
        <v>469</v>
      </c>
      <c r="O1616" s="752" t="s">
        <v>469</v>
      </c>
      <c r="P1616" s="752" t="s">
        <v>1238</v>
      </c>
      <c r="Q1616" s="753">
        <v>0</v>
      </c>
      <c r="R1616" s="753">
        <v>0</v>
      </c>
      <c r="S1616" s="753">
        <v>37913</v>
      </c>
      <c r="T1616" s="753">
        <v>37913</v>
      </c>
      <c r="U1616" s="753">
        <v>4258</v>
      </c>
      <c r="V1616" s="751">
        <v>2019</v>
      </c>
      <c r="W1616" s="222"/>
      <c r="X1616" s="186"/>
      <c r="Y1616" s="178" t="str">
        <f t="shared" si="80"/>
        <v/>
      </c>
      <c r="Z1616" s="178" t="str">
        <f t="shared" si="81"/>
        <v/>
      </c>
      <c r="AA1616" s="44"/>
      <c r="AB1616" s="65"/>
      <c r="AC1616" s="40"/>
    </row>
    <row r="1617" spans="1:29" hidden="1">
      <c r="A1617" s="751">
        <v>60858</v>
      </c>
      <c r="B1617" s="752" t="s">
        <v>35</v>
      </c>
      <c r="C1617" s="751" t="s">
        <v>2960</v>
      </c>
      <c r="D1617" s="752" t="s">
        <v>2137</v>
      </c>
      <c r="E1617" s="752" t="s">
        <v>2137</v>
      </c>
      <c r="F1617" s="751">
        <v>60517</v>
      </c>
      <c r="G1617" s="752" t="s">
        <v>83</v>
      </c>
      <c r="H1617" s="752" t="s">
        <v>1245</v>
      </c>
      <c r="I1617" s="752" t="s">
        <v>60</v>
      </c>
      <c r="J1617" s="751">
        <v>22</v>
      </c>
      <c r="K1617" s="751">
        <v>2</v>
      </c>
      <c r="L1617" s="752" t="s">
        <v>54</v>
      </c>
      <c r="M1617" s="752" t="s">
        <v>468</v>
      </c>
      <c r="N1617" s="752" t="s">
        <v>469</v>
      </c>
      <c r="O1617" s="752" t="s">
        <v>469</v>
      </c>
      <c r="P1617" s="752" t="s">
        <v>1238</v>
      </c>
      <c r="Q1617" s="753">
        <v>0</v>
      </c>
      <c r="R1617" s="753">
        <v>0</v>
      </c>
      <c r="S1617" s="753">
        <v>20506</v>
      </c>
      <c r="T1617" s="753">
        <v>20506</v>
      </c>
      <c r="U1617" s="753">
        <v>2303</v>
      </c>
      <c r="V1617" s="751">
        <v>2019</v>
      </c>
      <c r="W1617" s="222"/>
      <c r="X1617" s="186"/>
      <c r="Y1617" s="178" t="str">
        <f t="shared" si="80"/>
        <v/>
      </c>
      <c r="Z1617" s="178" t="str">
        <f t="shared" si="81"/>
        <v/>
      </c>
      <c r="AA1617" s="44"/>
      <c r="AB1617" s="65"/>
      <c r="AC1617" s="40"/>
    </row>
    <row r="1618" spans="1:29" hidden="1">
      <c r="A1618" s="751">
        <v>60860</v>
      </c>
      <c r="B1618" s="752" t="s">
        <v>35</v>
      </c>
      <c r="C1618" s="751" t="s">
        <v>2960</v>
      </c>
      <c r="D1618" s="752" t="s">
        <v>2138</v>
      </c>
      <c r="E1618" s="752" t="s">
        <v>2139</v>
      </c>
      <c r="F1618" s="751">
        <v>60520</v>
      </c>
      <c r="G1618" s="752" t="s">
        <v>91</v>
      </c>
      <c r="H1618" s="752" t="s">
        <v>1245</v>
      </c>
      <c r="I1618" s="752" t="s">
        <v>60</v>
      </c>
      <c r="J1618" s="751">
        <v>22</v>
      </c>
      <c r="K1618" s="751">
        <v>2</v>
      </c>
      <c r="L1618" s="752" t="s">
        <v>54</v>
      </c>
      <c r="M1618" s="752" t="s">
        <v>468</v>
      </c>
      <c r="N1618" s="752" t="s">
        <v>469</v>
      </c>
      <c r="O1618" s="752" t="s">
        <v>469</v>
      </c>
      <c r="P1618" s="752" t="s">
        <v>1238</v>
      </c>
      <c r="Q1618" s="753">
        <v>0</v>
      </c>
      <c r="R1618" s="753">
        <v>0</v>
      </c>
      <c r="S1618" s="753">
        <v>14202</v>
      </c>
      <c r="T1618" s="753">
        <v>14202</v>
      </c>
      <c r="U1618" s="753">
        <v>1595</v>
      </c>
      <c r="V1618" s="751">
        <v>2019</v>
      </c>
      <c r="W1618" s="222"/>
      <c r="X1618" s="186"/>
      <c r="Y1618" s="178" t="str">
        <f t="shared" si="80"/>
        <v/>
      </c>
      <c r="Z1618" s="178" t="str">
        <f t="shared" si="81"/>
        <v/>
      </c>
      <c r="AA1618" s="44"/>
      <c r="AB1618" s="65"/>
      <c r="AC1618" s="40"/>
    </row>
    <row r="1619" spans="1:29" hidden="1">
      <c r="A1619" s="751">
        <v>60865</v>
      </c>
      <c r="B1619" s="752" t="s">
        <v>35</v>
      </c>
      <c r="C1619" s="751" t="s">
        <v>2960</v>
      </c>
      <c r="D1619" s="752" t="s">
        <v>2140</v>
      </c>
      <c r="E1619" s="752" t="s">
        <v>2140</v>
      </c>
      <c r="F1619" s="751">
        <v>60521</v>
      </c>
      <c r="G1619" s="752" t="s">
        <v>83</v>
      </c>
      <c r="H1619" s="752" t="s">
        <v>1245</v>
      </c>
      <c r="I1619" s="752" t="s">
        <v>60</v>
      </c>
      <c r="J1619" s="751">
        <v>22</v>
      </c>
      <c r="K1619" s="751">
        <v>2</v>
      </c>
      <c r="L1619" s="752" t="s">
        <v>54</v>
      </c>
      <c r="M1619" s="752" t="s">
        <v>73</v>
      </c>
      <c r="N1619" s="752" t="s">
        <v>74</v>
      </c>
      <c r="O1619" s="752" t="s">
        <v>74</v>
      </c>
      <c r="P1619" s="752" t="s">
        <v>1238</v>
      </c>
      <c r="Q1619" s="753">
        <v>0</v>
      </c>
      <c r="R1619" s="753">
        <v>0</v>
      </c>
      <c r="S1619" s="753">
        <v>80244</v>
      </c>
      <c r="T1619" s="753">
        <v>80244</v>
      </c>
      <c r="U1619" s="753">
        <v>9012</v>
      </c>
      <c r="V1619" s="751">
        <v>2019</v>
      </c>
      <c r="W1619" s="222"/>
      <c r="X1619" s="186"/>
      <c r="Y1619" s="178" t="str">
        <f t="shared" si="80"/>
        <v/>
      </c>
      <c r="Z1619" s="178" t="str">
        <f t="shared" si="81"/>
        <v/>
      </c>
      <c r="AA1619" s="44"/>
      <c r="AB1619" s="65"/>
      <c r="AC1619" s="40"/>
    </row>
    <row r="1620" spans="1:29" hidden="1">
      <c r="A1620" s="751">
        <v>60866</v>
      </c>
      <c r="B1620" s="752" t="s">
        <v>35</v>
      </c>
      <c r="C1620" s="751" t="s">
        <v>2960</v>
      </c>
      <c r="D1620" s="752" t="s">
        <v>2141</v>
      </c>
      <c r="E1620" s="752" t="s">
        <v>2142</v>
      </c>
      <c r="F1620" s="751">
        <v>60484</v>
      </c>
      <c r="G1620" s="752" t="s">
        <v>83</v>
      </c>
      <c r="H1620" s="752" t="s">
        <v>1245</v>
      </c>
      <c r="I1620" s="752" t="s">
        <v>60</v>
      </c>
      <c r="J1620" s="751">
        <v>22</v>
      </c>
      <c r="K1620" s="751">
        <v>2</v>
      </c>
      <c r="L1620" s="752" t="s">
        <v>54</v>
      </c>
      <c r="M1620" s="752" t="s">
        <v>468</v>
      </c>
      <c r="N1620" s="752" t="s">
        <v>469</v>
      </c>
      <c r="O1620" s="752" t="s">
        <v>469</v>
      </c>
      <c r="P1620" s="752" t="s">
        <v>1238</v>
      </c>
      <c r="Q1620" s="753">
        <v>0</v>
      </c>
      <c r="R1620" s="753">
        <v>0</v>
      </c>
      <c r="S1620" s="753">
        <v>26775</v>
      </c>
      <c r="T1620" s="753">
        <v>26775</v>
      </c>
      <c r="U1620" s="753">
        <v>3007</v>
      </c>
      <c r="V1620" s="751">
        <v>2019</v>
      </c>
      <c r="W1620" s="222"/>
      <c r="X1620" s="186"/>
      <c r="Y1620" s="178" t="str">
        <f t="shared" si="80"/>
        <v/>
      </c>
      <c r="Z1620" s="178" t="str">
        <f t="shared" si="81"/>
        <v/>
      </c>
      <c r="AA1620" s="44"/>
      <c r="AB1620" s="65"/>
      <c r="AC1620" s="40"/>
    </row>
    <row r="1621" spans="1:29" hidden="1">
      <c r="A1621" s="751">
        <v>60867</v>
      </c>
      <c r="B1621" s="752" t="s">
        <v>35</v>
      </c>
      <c r="C1621" s="751" t="s">
        <v>2960</v>
      </c>
      <c r="D1621" s="752" t="s">
        <v>2143</v>
      </c>
      <c r="E1621" s="752" t="s">
        <v>1844</v>
      </c>
      <c r="F1621" s="751">
        <v>59232</v>
      </c>
      <c r="G1621" s="752" t="s">
        <v>83</v>
      </c>
      <c r="H1621" s="752" t="s">
        <v>1245</v>
      </c>
      <c r="I1621" s="752" t="s">
        <v>60</v>
      </c>
      <c r="J1621" s="751">
        <v>22</v>
      </c>
      <c r="K1621" s="751">
        <v>2</v>
      </c>
      <c r="L1621" s="752" t="s">
        <v>54</v>
      </c>
      <c r="M1621" s="752" t="s">
        <v>468</v>
      </c>
      <c r="N1621" s="752" t="s">
        <v>469</v>
      </c>
      <c r="O1621" s="752" t="s">
        <v>469</v>
      </c>
      <c r="P1621" s="752" t="s">
        <v>1238</v>
      </c>
      <c r="Q1621" s="753">
        <v>0</v>
      </c>
      <c r="R1621" s="753">
        <v>0</v>
      </c>
      <c r="S1621" s="753">
        <v>53514</v>
      </c>
      <c r="T1621" s="753">
        <v>53514</v>
      </c>
      <c r="U1621" s="753">
        <v>6010</v>
      </c>
      <c r="V1621" s="751">
        <v>2019</v>
      </c>
      <c r="W1621" s="222"/>
      <c r="X1621" s="186"/>
      <c r="Y1621" s="178" t="str">
        <f t="shared" si="80"/>
        <v/>
      </c>
      <c r="Z1621" s="178" t="str">
        <f t="shared" si="81"/>
        <v/>
      </c>
      <c r="AA1621" s="44"/>
      <c r="AB1621" s="65"/>
      <c r="AC1621" s="40"/>
    </row>
    <row r="1622" spans="1:29" hidden="1">
      <c r="A1622" s="751">
        <v>60874</v>
      </c>
      <c r="B1622" s="752" t="s">
        <v>35</v>
      </c>
      <c r="C1622" s="751" t="s">
        <v>2960</v>
      </c>
      <c r="D1622" s="752" t="s">
        <v>2144</v>
      </c>
      <c r="E1622" s="752" t="s">
        <v>137</v>
      </c>
      <c r="F1622" s="751">
        <v>7601</v>
      </c>
      <c r="G1622" s="752" t="s">
        <v>91</v>
      </c>
      <c r="H1622" s="752" t="s">
        <v>1245</v>
      </c>
      <c r="I1622" s="752" t="s">
        <v>60</v>
      </c>
      <c r="J1622" s="751">
        <v>22</v>
      </c>
      <c r="K1622" s="751">
        <v>1</v>
      </c>
      <c r="L1622" s="752" t="s">
        <v>36</v>
      </c>
      <c r="M1622" s="752" t="s">
        <v>468</v>
      </c>
      <c r="N1622" s="752" t="s">
        <v>469</v>
      </c>
      <c r="O1622" s="752" t="s">
        <v>469</v>
      </c>
      <c r="P1622" s="752" t="s">
        <v>1238</v>
      </c>
      <c r="Q1622" s="753">
        <v>0</v>
      </c>
      <c r="R1622" s="753">
        <v>0</v>
      </c>
      <c r="S1622" s="753">
        <v>66727</v>
      </c>
      <c r="T1622" s="753">
        <v>66727</v>
      </c>
      <c r="U1622" s="753">
        <v>7494</v>
      </c>
      <c r="V1622" s="751">
        <v>2019</v>
      </c>
      <c r="W1622" s="222"/>
      <c r="X1622" s="186"/>
      <c r="Y1622" s="178" t="str">
        <f t="shared" si="80"/>
        <v/>
      </c>
      <c r="Z1622" s="178" t="str">
        <f t="shared" si="81"/>
        <v/>
      </c>
      <c r="AA1622" s="44"/>
      <c r="AB1622" s="65"/>
      <c r="AC1622" s="40"/>
    </row>
    <row r="1623" spans="1:29" hidden="1">
      <c r="A1623" s="751">
        <v>60875</v>
      </c>
      <c r="B1623" s="752" t="s">
        <v>35</v>
      </c>
      <c r="C1623" s="751" t="s">
        <v>2960</v>
      </c>
      <c r="D1623" s="752" t="s">
        <v>2145</v>
      </c>
      <c r="E1623" s="752" t="s">
        <v>137</v>
      </c>
      <c r="F1623" s="751">
        <v>7601</v>
      </c>
      <c r="G1623" s="752" t="s">
        <v>91</v>
      </c>
      <c r="H1623" s="752" t="s">
        <v>1245</v>
      </c>
      <c r="I1623" s="752" t="s">
        <v>60</v>
      </c>
      <c r="J1623" s="751">
        <v>22</v>
      </c>
      <c r="K1623" s="751">
        <v>1</v>
      </c>
      <c r="L1623" s="752" t="s">
        <v>36</v>
      </c>
      <c r="M1623" s="752" t="s">
        <v>468</v>
      </c>
      <c r="N1623" s="752" t="s">
        <v>469</v>
      </c>
      <c r="O1623" s="752" t="s">
        <v>469</v>
      </c>
      <c r="P1623" s="752" t="s">
        <v>1238</v>
      </c>
      <c r="Q1623" s="753">
        <v>0</v>
      </c>
      <c r="R1623" s="753">
        <v>0</v>
      </c>
      <c r="S1623" s="753">
        <v>64120</v>
      </c>
      <c r="T1623" s="753">
        <v>64120</v>
      </c>
      <c r="U1623" s="753">
        <v>7201</v>
      </c>
      <c r="V1623" s="751">
        <v>2019</v>
      </c>
      <c r="W1623" s="222"/>
      <c r="X1623" s="186"/>
      <c r="Y1623" s="178" t="str">
        <f t="shared" si="80"/>
        <v/>
      </c>
      <c r="Z1623" s="178" t="str">
        <f t="shared" si="81"/>
        <v/>
      </c>
      <c r="AA1623" s="44"/>
      <c r="AB1623" s="65"/>
      <c r="AC1623" s="40"/>
    </row>
    <row r="1624" spans="1:29" hidden="1">
      <c r="A1624" s="751">
        <v>60877</v>
      </c>
      <c r="B1624" s="752" t="s">
        <v>35</v>
      </c>
      <c r="C1624" s="751" t="s">
        <v>2960</v>
      </c>
      <c r="D1624" s="752" t="s">
        <v>2146</v>
      </c>
      <c r="E1624" s="752" t="s">
        <v>137</v>
      </c>
      <c r="F1624" s="751">
        <v>7601</v>
      </c>
      <c r="G1624" s="752" t="s">
        <v>91</v>
      </c>
      <c r="H1624" s="752" t="s">
        <v>1245</v>
      </c>
      <c r="I1624" s="752" t="s">
        <v>60</v>
      </c>
      <c r="J1624" s="751">
        <v>22</v>
      </c>
      <c r="K1624" s="751">
        <v>1</v>
      </c>
      <c r="L1624" s="752" t="s">
        <v>36</v>
      </c>
      <c r="M1624" s="752" t="s">
        <v>468</v>
      </c>
      <c r="N1624" s="752" t="s">
        <v>469</v>
      </c>
      <c r="O1624" s="752" t="s">
        <v>469</v>
      </c>
      <c r="P1624" s="752" t="s">
        <v>1238</v>
      </c>
      <c r="Q1624" s="753">
        <v>0</v>
      </c>
      <c r="R1624" s="753">
        <v>0</v>
      </c>
      <c r="S1624" s="753">
        <v>59022</v>
      </c>
      <c r="T1624" s="753">
        <v>59022</v>
      </c>
      <c r="U1624" s="753">
        <v>6629</v>
      </c>
      <c r="V1624" s="751">
        <v>2019</v>
      </c>
      <c r="W1624" s="222"/>
      <c r="X1624" s="186"/>
      <c r="Y1624" s="178" t="str">
        <f t="shared" si="80"/>
        <v/>
      </c>
      <c r="Z1624" s="178" t="str">
        <f t="shared" si="81"/>
        <v/>
      </c>
      <c r="AA1624" s="44"/>
      <c r="AB1624" s="65"/>
      <c r="AC1624" s="40"/>
    </row>
    <row r="1625" spans="1:29" hidden="1">
      <c r="A1625" s="751">
        <v>60878</v>
      </c>
      <c r="B1625" s="752" t="s">
        <v>35</v>
      </c>
      <c r="C1625" s="751" t="s">
        <v>2960</v>
      </c>
      <c r="D1625" s="752" t="s">
        <v>2291</v>
      </c>
      <c r="E1625" s="752" t="s">
        <v>2147</v>
      </c>
      <c r="F1625" s="751">
        <v>60529</v>
      </c>
      <c r="G1625" s="752" t="s">
        <v>83</v>
      </c>
      <c r="H1625" s="752" t="s">
        <v>1245</v>
      </c>
      <c r="I1625" s="752" t="s">
        <v>60</v>
      </c>
      <c r="J1625" s="751">
        <v>22</v>
      </c>
      <c r="K1625" s="751">
        <v>2</v>
      </c>
      <c r="L1625" s="752" t="s">
        <v>54</v>
      </c>
      <c r="M1625" s="752" t="s">
        <v>468</v>
      </c>
      <c r="N1625" s="752" t="s">
        <v>469</v>
      </c>
      <c r="O1625" s="752" t="s">
        <v>469</v>
      </c>
      <c r="P1625" s="752" t="s">
        <v>1238</v>
      </c>
      <c r="Q1625" s="753">
        <v>0</v>
      </c>
      <c r="R1625" s="753">
        <v>0</v>
      </c>
      <c r="S1625" s="753">
        <v>27912</v>
      </c>
      <c r="T1625" s="753">
        <v>27912</v>
      </c>
      <c r="U1625" s="753">
        <v>3135</v>
      </c>
      <c r="V1625" s="751">
        <v>2019</v>
      </c>
      <c r="W1625" s="222"/>
      <c r="X1625" s="186"/>
      <c r="Y1625" s="178" t="str">
        <f t="shared" si="80"/>
        <v/>
      </c>
      <c r="Z1625" s="178" t="str">
        <f t="shared" si="81"/>
        <v/>
      </c>
      <c r="AA1625" s="44"/>
      <c r="AB1625" s="65"/>
      <c r="AC1625" s="40"/>
    </row>
    <row r="1626" spans="1:29" hidden="1">
      <c r="A1626" s="751">
        <v>60879</v>
      </c>
      <c r="B1626" s="752" t="s">
        <v>35</v>
      </c>
      <c r="C1626" s="751" t="s">
        <v>2960</v>
      </c>
      <c r="D1626" s="752" t="s">
        <v>2292</v>
      </c>
      <c r="E1626" s="752" t="s">
        <v>2148</v>
      </c>
      <c r="F1626" s="751">
        <v>60530</v>
      </c>
      <c r="G1626" s="752" t="s">
        <v>83</v>
      </c>
      <c r="H1626" s="752" t="s">
        <v>1245</v>
      </c>
      <c r="I1626" s="752" t="s">
        <v>60</v>
      </c>
      <c r="J1626" s="751">
        <v>22</v>
      </c>
      <c r="K1626" s="751">
        <v>2</v>
      </c>
      <c r="L1626" s="752" t="s">
        <v>54</v>
      </c>
      <c r="M1626" s="752" t="s">
        <v>468</v>
      </c>
      <c r="N1626" s="752" t="s">
        <v>469</v>
      </c>
      <c r="O1626" s="752" t="s">
        <v>469</v>
      </c>
      <c r="P1626" s="752" t="s">
        <v>1238</v>
      </c>
      <c r="Q1626" s="753">
        <v>0</v>
      </c>
      <c r="R1626" s="753">
        <v>0</v>
      </c>
      <c r="S1626" s="753">
        <v>20060</v>
      </c>
      <c r="T1626" s="753">
        <v>20060</v>
      </c>
      <c r="U1626" s="753">
        <v>2253</v>
      </c>
      <c r="V1626" s="751">
        <v>2019</v>
      </c>
      <c r="W1626" s="222"/>
      <c r="X1626" s="186"/>
      <c r="Y1626" s="178" t="str">
        <f t="shared" si="80"/>
        <v/>
      </c>
      <c r="Z1626" s="178" t="str">
        <f t="shared" si="81"/>
        <v/>
      </c>
      <c r="AA1626" s="44"/>
      <c r="AB1626" s="65"/>
      <c r="AC1626" s="40"/>
    </row>
    <row r="1627" spans="1:29" ht="25" hidden="1">
      <c r="A1627" s="751">
        <v>60880</v>
      </c>
      <c r="B1627" s="752" t="s">
        <v>35</v>
      </c>
      <c r="C1627" s="751" t="s">
        <v>2960</v>
      </c>
      <c r="D1627" s="752" t="s">
        <v>2499</v>
      </c>
      <c r="E1627" s="752" t="s">
        <v>2149</v>
      </c>
      <c r="F1627" s="751">
        <v>60911</v>
      </c>
      <c r="G1627" s="752" t="s">
        <v>43</v>
      </c>
      <c r="H1627" s="752" t="s">
        <v>1245</v>
      </c>
      <c r="I1627" s="752" t="s">
        <v>60</v>
      </c>
      <c r="J1627" s="751">
        <v>22</v>
      </c>
      <c r="K1627" s="751">
        <v>2</v>
      </c>
      <c r="L1627" s="752" t="s">
        <v>54</v>
      </c>
      <c r="M1627" s="752" t="s">
        <v>468</v>
      </c>
      <c r="N1627" s="752" t="s">
        <v>469</v>
      </c>
      <c r="O1627" s="752" t="s">
        <v>469</v>
      </c>
      <c r="P1627" s="752" t="s">
        <v>1238</v>
      </c>
      <c r="Q1627" s="753">
        <v>0</v>
      </c>
      <c r="R1627" s="753">
        <v>0</v>
      </c>
      <c r="S1627" s="753">
        <v>27870</v>
      </c>
      <c r="T1627" s="753">
        <v>27870</v>
      </c>
      <c r="U1627" s="753">
        <v>3130</v>
      </c>
      <c r="V1627" s="751">
        <v>2019</v>
      </c>
      <c r="W1627" s="222"/>
      <c r="X1627" s="186"/>
      <c r="Y1627" s="178" t="str">
        <f t="shared" si="80"/>
        <v/>
      </c>
      <c r="Z1627" s="178" t="str">
        <f t="shared" si="81"/>
        <v/>
      </c>
      <c r="AA1627" s="44"/>
      <c r="AB1627" s="65"/>
      <c r="AC1627" s="40"/>
    </row>
    <row r="1628" spans="1:29" ht="25" hidden="1">
      <c r="A1628" s="751">
        <v>60903</v>
      </c>
      <c r="B1628" s="752" t="s">
        <v>35</v>
      </c>
      <c r="C1628" s="751" t="s">
        <v>2960</v>
      </c>
      <c r="D1628" s="752" t="s">
        <v>2446</v>
      </c>
      <c r="E1628" s="752" t="s">
        <v>2500</v>
      </c>
      <c r="F1628" s="751">
        <v>59928</v>
      </c>
      <c r="G1628" s="752" t="s">
        <v>83</v>
      </c>
      <c r="H1628" s="752" t="s">
        <v>1245</v>
      </c>
      <c r="I1628" s="752" t="s">
        <v>60</v>
      </c>
      <c r="J1628" s="751">
        <v>22</v>
      </c>
      <c r="K1628" s="751">
        <v>2</v>
      </c>
      <c r="L1628" s="752" t="s">
        <v>54</v>
      </c>
      <c r="M1628" s="752" t="s">
        <v>40</v>
      </c>
      <c r="N1628" s="752" t="s">
        <v>41</v>
      </c>
      <c r="O1628" s="752" t="s">
        <v>41</v>
      </c>
      <c r="P1628" s="752" t="s">
        <v>1091</v>
      </c>
      <c r="Q1628" s="753">
        <v>31583</v>
      </c>
      <c r="R1628" s="753">
        <v>31583</v>
      </c>
      <c r="S1628" s="753">
        <v>32783</v>
      </c>
      <c r="T1628" s="753">
        <v>32783</v>
      </c>
      <c r="U1628" s="753">
        <v>188357</v>
      </c>
      <c r="V1628" s="751">
        <v>2019</v>
      </c>
      <c r="W1628" s="222" t="s">
        <v>2666</v>
      </c>
      <c r="X1628" s="186"/>
      <c r="Y1628" s="178" t="str">
        <f t="shared" si="80"/>
        <v/>
      </c>
      <c r="Z1628" s="178" t="str">
        <f t="shared" si="81"/>
        <v/>
      </c>
      <c r="AA1628" s="44"/>
      <c r="AB1628" s="65"/>
      <c r="AC1628" s="40"/>
    </row>
    <row r="1629" spans="1:29" ht="25" hidden="1">
      <c r="A1629" s="751">
        <v>60903</v>
      </c>
      <c r="B1629" s="752" t="s">
        <v>35</v>
      </c>
      <c r="C1629" s="751" t="s">
        <v>2960</v>
      </c>
      <c r="D1629" s="752" t="s">
        <v>2446</v>
      </c>
      <c r="E1629" s="752" t="s">
        <v>2500</v>
      </c>
      <c r="F1629" s="751">
        <v>59928</v>
      </c>
      <c r="G1629" s="752" t="s">
        <v>83</v>
      </c>
      <c r="H1629" s="752" t="s">
        <v>1245</v>
      </c>
      <c r="I1629" s="752" t="s">
        <v>60</v>
      </c>
      <c r="J1629" s="751">
        <v>22</v>
      </c>
      <c r="K1629" s="751">
        <v>2</v>
      </c>
      <c r="L1629" s="752" t="s">
        <v>54</v>
      </c>
      <c r="M1629" s="752" t="s">
        <v>43</v>
      </c>
      <c r="N1629" s="752" t="s">
        <v>41</v>
      </c>
      <c r="O1629" s="752" t="s">
        <v>41</v>
      </c>
      <c r="P1629" s="752" t="s">
        <v>1091</v>
      </c>
      <c r="Q1629" s="753">
        <v>3954803</v>
      </c>
      <c r="R1629" s="753">
        <v>3954803</v>
      </c>
      <c r="S1629" s="753">
        <v>4109017</v>
      </c>
      <c r="T1629" s="753">
        <v>4109017</v>
      </c>
      <c r="U1629" s="753">
        <v>345771</v>
      </c>
      <c r="V1629" s="751">
        <v>2019</v>
      </c>
      <c r="W1629" s="222" t="s">
        <v>2666</v>
      </c>
      <c r="X1629" s="186"/>
      <c r="Y1629" s="178" t="str">
        <f t="shared" si="80"/>
        <v/>
      </c>
      <c r="Z1629" s="178" t="str">
        <f t="shared" si="81"/>
        <v/>
      </c>
      <c r="AA1629" s="44"/>
      <c r="AB1629" s="65"/>
      <c r="AC1629" s="40"/>
    </row>
    <row r="1630" spans="1:29" hidden="1">
      <c r="A1630" s="751">
        <v>60904</v>
      </c>
      <c r="B1630" s="752" t="s">
        <v>35</v>
      </c>
      <c r="C1630" s="751" t="s">
        <v>2960</v>
      </c>
      <c r="D1630" s="752" t="s">
        <v>2293</v>
      </c>
      <c r="E1630" s="752" t="s">
        <v>2040</v>
      </c>
      <c r="F1630" s="751">
        <v>60947</v>
      </c>
      <c r="G1630" s="752" t="s">
        <v>59</v>
      </c>
      <c r="H1630" s="752" t="s">
        <v>1244</v>
      </c>
      <c r="I1630" s="752" t="s">
        <v>60</v>
      </c>
      <c r="J1630" s="751">
        <v>22</v>
      </c>
      <c r="K1630" s="751">
        <v>2</v>
      </c>
      <c r="L1630" s="752" t="s">
        <v>54</v>
      </c>
      <c r="M1630" s="752" t="s">
        <v>468</v>
      </c>
      <c r="N1630" s="752" t="s">
        <v>469</v>
      </c>
      <c r="O1630" s="752" t="s">
        <v>469</v>
      </c>
      <c r="P1630" s="752" t="s">
        <v>1238</v>
      </c>
      <c r="Q1630" s="753">
        <v>0</v>
      </c>
      <c r="R1630" s="753">
        <v>0</v>
      </c>
      <c r="S1630" s="753">
        <v>19545</v>
      </c>
      <c r="T1630" s="753">
        <v>19545</v>
      </c>
      <c r="U1630" s="753">
        <v>2195</v>
      </c>
      <c r="V1630" s="751">
        <v>2019</v>
      </c>
      <c r="W1630" s="222"/>
      <c r="X1630" s="186"/>
      <c r="Y1630" s="178" t="str">
        <f t="shared" si="80"/>
        <v/>
      </c>
      <c r="Z1630" s="178" t="str">
        <f t="shared" si="81"/>
        <v/>
      </c>
      <c r="AA1630" s="44"/>
      <c r="AB1630" s="65"/>
      <c r="AC1630" s="40"/>
    </row>
    <row r="1631" spans="1:29" ht="25" hidden="1">
      <c r="A1631" s="751">
        <v>60906</v>
      </c>
      <c r="B1631" s="752" t="s">
        <v>35</v>
      </c>
      <c r="C1631" s="751" t="s">
        <v>2960</v>
      </c>
      <c r="D1631" s="752" t="s">
        <v>2993</v>
      </c>
      <c r="E1631" s="752" t="s">
        <v>2150</v>
      </c>
      <c r="F1631" s="751">
        <v>60471</v>
      </c>
      <c r="G1631" s="752" t="s">
        <v>83</v>
      </c>
      <c r="H1631" s="752" t="s">
        <v>1245</v>
      </c>
      <c r="I1631" s="752" t="s">
        <v>60</v>
      </c>
      <c r="J1631" s="751">
        <v>22</v>
      </c>
      <c r="K1631" s="751">
        <v>2</v>
      </c>
      <c r="L1631" s="752" t="s">
        <v>54</v>
      </c>
      <c r="M1631" s="752" t="s">
        <v>2001</v>
      </c>
      <c r="N1631" s="752" t="s">
        <v>1107</v>
      </c>
      <c r="O1631" s="752" t="s">
        <v>84</v>
      </c>
      <c r="P1631" s="752" t="s">
        <v>2961</v>
      </c>
      <c r="Q1631" s="753">
        <v>485</v>
      </c>
      <c r="R1631" s="753">
        <v>485</v>
      </c>
      <c r="S1631" s="753">
        <v>0</v>
      </c>
      <c r="T1631" s="753">
        <v>0</v>
      </c>
      <c r="U1631" s="753">
        <v>0</v>
      </c>
      <c r="V1631" s="751">
        <v>2019</v>
      </c>
      <c r="W1631" s="222"/>
      <c r="X1631" s="186"/>
      <c r="Y1631" s="86" t="str">
        <f t="shared" si="80"/>
        <v/>
      </c>
      <c r="Z1631" s="86" t="str">
        <f t="shared" si="81"/>
        <v/>
      </c>
      <c r="AA1631" s="44"/>
      <c r="AB1631" s="65"/>
      <c r="AC1631" s="40"/>
    </row>
    <row r="1632" spans="1:29" hidden="1">
      <c r="A1632" s="751">
        <v>60906</v>
      </c>
      <c r="B1632" s="752" t="s">
        <v>35</v>
      </c>
      <c r="C1632" s="751" t="s">
        <v>2960</v>
      </c>
      <c r="D1632" s="752" t="s">
        <v>2993</v>
      </c>
      <c r="E1632" s="752" t="s">
        <v>2150</v>
      </c>
      <c r="F1632" s="751">
        <v>60471</v>
      </c>
      <c r="G1632" s="752" t="s">
        <v>83</v>
      </c>
      <c r="H1632" s="752" t="s">
        <v>1245</v>
      </c>
      <c r="I1632" s="752" t="s">
        <v>60</v>
      </c>
      <c r="J1632" s="751">
        <v>22</v>
      </c>
      <c r="K1632" s="751">
        <v>2</v>
      </c>
      <c r="L1632" s="752" t="s">
        <v>54</v>
      </c>
      <c r="M1632" s="752" t="s">
        <v>468</v>
      </c>
      <c r="N1632" s="752" t="s">
        <v>469</v>
      </c>
      <c r="O1632" s="752" t="s">
        <v>469</v>
      </c>
      <c r="P1632" s="752" t="s">
        <v>1238</v>
      </c>
      <c r="Q1632" s="753">
        <v>0</v>
      </c>
      <c r="R1632" s="753">
        <v>0</v>
      </c>
      <c r="S1632" s="753">
        <v>53219</v>
      </c>
      <c r="T1632" s="753">
        <v>53219</v>
      </c>
      <c r="U1632" s="753">
        <v>5977</v>
      </c>
      <c r="V1632" s="751">
        <v>2019</v>
      </c>
      <c r="W1632" s="222"/>
      <c r="X1632" s="186"/>
      <c r="Y1632" s="86" t="str">
        <f t="shared" si="80"/>
        <v/>
      </c>
      <c r="Z1632" s="86" t="str">
        <f t="shared" si="81"/>
        <v/>
      </c>
      <c r="AA1632" s="44"/>
      <c r="AB1632" s="65"/>
      <c r="AC1632" s="40"/>
    </row>
    <row r="1633" spans="1:29" ht="25" hidden="1">
      <c r="A1633" s="751">
        <v>60908</v>
      </c>
      <c r="B1633" s="752" t="s">
        <v>35</v>
      </c>
      <c r="C1633" s="751" t="s">
        <v>2960</v>
      </c>
      <c r="D1633" s="752" t="s">
        <v>2294</v>
      </c>
      <c r="E1633" s="752" t="s">
        <v>2295</v>
      </c>
      <c r="F1633" s="751">
        <v>60541</v>
      </c>
      <c r="G1633" s="752" t="s">
        <v>83</v>
      </c>
      <c r="H1633" s="752" t="s">
        <v>1245</v>
      </c>
      <c r="I1633" s="752" t="s">
        <v>60</v>
      </c>
      <c r="J1633" s="751">
        <v>22</v>
      </c>
      <c r="K1633" s="751">
        <v>2</v>
      </c>
      <c r="L1633" s="752" t="s">
        <v>54</v>
      </c>
      <c r="M1633" s="752" t="s">
        <v>468</v>
      </c>
      <c r="N1633" s="752" t="s">
        <v>469</v>
      </c>
      <c r="O1633" s="752" t="s">
        <v>469</v>
      </c>
      <c r="P1633" s="752" t="s">
        <v>1238</v>
      </c>
      <c r="Q1633" s="753">
        <v>0</v>
      </c>
      <c r="R1633" s="753">
        <v>0</v>
      </c>
      <c r="S1633" s="753">
        <v>20550</v>
      </c>
      <c r="T1633" s="753">
        <v>20550</v>
      </c>
      <c r="U1633" s="753">
        <v>2308</v>
      </c>
      <c r="V1633" s="751">
        <v>2019</v>
      </c>
      <c r="W1633" s="222"/>
      <c r="X1633" s="186"/>
      <c r="Y1633" s="178" t="str">
        <f t="shared" si="80"/>
        <v/>
      </c>
      <c r="Z1633" s="178" t="str">
        <f t="shared" si="81"/>
        <v/>
      </c>
      <c r="AA1633" s="44"/>
      <c r="AB1633" s="65"/>
      <c r="AC1633" s="40"/>
    </row>
    <row r="1634" spans="1:29" ht="25" hidden="1">
      <c r="A1634" s="751">
        <v>60909</v>
      </c>
      <c r="B1634" s="752" t="s">
        <v>35</v>
      </c>
      <c r="C1634" s="751" t="s">
        <v>2960</v>
      </c>
      <c r="D1634" s="752" t="s">
        <v>2151</v>
      </c>
      <c r="E1634" s="752" t="s">
        <v>2152</v>
      </c>
      <c r="F1634" s="751">
        <v>60166</v>
      </c>
      <c r="G1634" s="752" t="s">
        <v>43</v>
      </c>
      <c r="H1634" s="752" t="s">
        <v>1245</v>
      </c>
      <c r="I1634" s="752" t="s">
        <v>60</v>
      </c>
      <c r="J1634" s="751">
        <v>22</v>
      </c>
      <c r="K1634" s="751">
        <v>2</v>
      </c>
      <c r="L1634" s="752" t="s">
        <v>54</v>
      </c>
      <c r="M1634" s="752" t="s">
        <v>468</v>
      </c>
      <c r="N1634" s="752" t="s">
        <v>469</v>
      </c>
      <c r="O1634" s="752" t="s">
        <v>469</v>
      </c>
      <c r="P1634" s="752" t="s">
        <v>1238</v>
      </c>
      <c r="Q1634" s="753">
        <v>0</v>
      </c>
      <c r="R1634" s="753">
        <v>0</v>
      </c>
      <c r="S1634" s="753">
        <v>13391</v>
      </c>
      <c r="T1634" s="753">
        <v>13391</v>
      </c>
      <c r="U1634" s="753">
        <v>1504</v>
      </c>
      <c r="V1634" s="751">
        <v>2019</v>
      </c>
      <c r="W1634" s="222"/>
      <c r="X1634" s="186"/>
      <c r="Y1634" s="178" t="str">
        <f t="shared" si="80"/>
        <v/>
      </c>
      <c r="Z1634" s="178" t="str">
        <f t="shared" si="81"/>
        <v/>
      </c>
      <c r="AA1634" s="44"/>
      <c r="AB1634" s="65"/>
      <c r="AC1634" s="40"/>
    </row>
    <row r="1635" spans="1:29" hidden="1">
      <c r="A1635" s="751">
        <v>60912</v>
      </c>
      <c r="B1635" s="752" t="s">
        <v>35</v>
      </c>
      <c r="C1635" s="751" t="s">
        <v>2960</v>
      </c>
      <c r="D1635" s="752" t="s">
        <v>2153</v>
      </c>
      <c r="E1635" s="752" t="s">
        <v>2154</v>
      </c>
      <c r="F1635" s="751">
        <v>60571</v>
      </c>
      <c r="G1635" s="752" t="s">
        <v>91</v>
      </c>
      <c r="H1635" s="752" t="s">
        <v>1245</v>
      </c>
      <c r="I1635" s="752" t="s">
        <v>60</v>
      </c>
      <c r="J1635" s="751">
        <v>22</v>
      </c>
      <c r="K1635" s="751">
        <v>2</v>
      </c>
      <c r="L1635" s="752" t="s">
        <v>54</v>
      </c>
      <c r="M1635" s="752" t="s">
        <v>468</v>
      </c>
      <c r="N1635" s="752" t="s">
        <v>469</v>
      </c>
      <c r="O1635" s="752" t="s">
        <v>469</v>
      </c>
      <c r="P1635" s="752" t="s">
        <v>1238</v>
      </c>
      <c r="Q1635" s="753">
        <v>0</v>
      </c>
      <c r="R1635" s="753">
        <v>0</v>
      </c>
      <c r="S1635" s="753">
        <v>30219</v>
      </c>
      <c r="T1635" s="753">
        <v>30219</v>
      </c>
      <c r="U1635" s="753">
        <v>3394</v>
      </c>
      <c r="V1635" s="751">
        <v>2019</v>
      </c>
      <c r="W1635" s="222"/>
      <c r="X1635" s="186"/>
      <c r="Y1635" s="178" t="str">
        <f t="shared" si="80"/>
        <v/>
      </c>
      <c r="Z1635" s="178" t="str">
        <f t="shared" si="81"/>
        <v/>
      </c>
      <c r="AA1635" s="44"/>
      <c r="AB1635" s="65"/>
      <c r="AC1635" s="40"/>
    </row>
    <row r="1636" spans="1:29" hidden="1">
      <c r="A1636" s="751">
        <v>60954</v>
      </c>
      <c r="B1636" s="752" t="s">
        <v>35</v>
      </c>
      <c r="C1636" s="751" t="s">
        <v>2960</v>
      </c>
      <c r="D1636" s="752" t="s">
        <v>2296</v>
      </c>
      <c r="E1636" s="752" t="s">
        <v>2139</v>
      </c>
      <c r="F1636" s="751">
        <v>60520</v>
      </c>
      <c r="G1636" s="752" t="s">
        <v>91</v>
      </c>
      <c r="H1636" s="752" t="s">
        <v>1245</v>
      </c>
      <c r="I1636" s="752" t="s">
        <v>60</v>
      </c>
      <c r="J1636" s="751">
        <v>22</v>
      </c>
      <c r="K1636" s="751">
        <v>2</v>
      </c>
      <c r="L1636" s="752" t="s">
        <v>54</v>
      </c>
      <c r="M1636" s="752" t="s">
        <v>468</v>
      </c>
      <c r="N1636" s="752" t="s">
        <v>469</v>
      </c>
      <c r="O1636" s="752" t="s">
        <v>469</v>
      </c>
      <c r="P1636" s="752" t="s">
        <v>1238</v>
      </c>
      <c r="Q1636" s="753">
        <v>0</v>
      </c>
      <c r="R1636" s="753">
        <v>0</v>
      </c>
      <c r="S1636" s="753">
        <v>15181</v>
      </c>
      <c r="T1636" s="753">
        <v>15181</v>
      </c>
      <c r="U1636" s="753">
        <v>1705</v>
      </c>
      <c r="V1636" s="751">
        <v>2019</v>
      </c>
      <c r="W1636" s="222"/>
      <c r="X1636" s="186"/>
      <c r="Y1636" s="178" t="str">
        <f t="shared" si="80"/>
        <v/>
      </c>
      <c r="Z1636" s="178" t="str">
        <f t="shared" si="81"/>
        <v/>
      </c>
      <c r="AA1636" s="44"/>
      <c r="AB1636" s="65"/>
      <c r="AC1636" s="40"/>
    </row>
    <row r="1637" spans="1:29" ht="25" hidden="1">
      <c r="A1637" s="751">
        <v>60959</v>
      </c>
      <c r="B1637" s="752" t="s">
        <v>35</v>
      </c>
      <c r="C1637" s="751" t="s">
        <v>2960</v>
      </c>
      <c r="D1637" s="752" t="s">
        <v>2155</v>
      </c>
      <c r="E1637" s="752" t="s">
        <v>2156</v>
      </c>
      <c r="F1637" s="751">
        <v>58375</v>
      </c>
      <c r="G1637" s="752" t="s">
        <v>83</v>
      </c>
      <c r="H1637" s="752" t="s">
        <v>1245</v>
      </c>
      <c r="I1637" s="752" t="s">
        <v>60</v>
      </c>
      <c r="J1637" s="751">
        <v>22</v>
      </c>
      <c r="K1637" s="751">
        <v>1</v>
      </c>
      <c r="L1637" s="752" t="s">
        <v>36</v>
      </c>
      <c r="M1637" s="752" t="s">
        <v>2001</v>
      </c>
      <c r="N1637" s="752" t="s">
        <v>1107</v>
      </c>
      <c r="O1637" s="752" t="s">
        <v>84</v>
      </c>
      <c r="P1637" s="752" t="s">
        <v>2961</v>
      </c>
      <c r="Q1637" s="753">
        <v>167</v>
      </c>
      <c r="R1637" s="753">
        <v>167</v>
      </c>
      <c r="S1637" s="753">
        <v>0</v>
      </c>
      <c r="T1637" s="753">
        <v>0</v>
      </c>
      <c r="U1637" s="753">
        <v>-36</v>
      </c>
      <c r="V1637" s="751">
        <v>2019</v>
      </c>
      <c r="W1637" s="222"/>
      <c r="X1637" s="186"/>
      <c r="Y1637" s="178" t="str">
        <f t="shared" si="80"/>
        <v/>
      </c>
      <c r="Z1637" s="178" t="str">
        <f t="shared" si="81"/>
        <v/>
      </c>
      <c r="AA1637" s="44"/>
      <c r="AB1637" s="65"/>
      <c r="AC1637" s="40"/>
    </row>
    <row r="1638" spans="1:29" hidden="1">
      <c r="A1638" s="751">
        <v>60967</v>
      </c>
      <c r="B1638" s="752" t="s">
        <v>35</v>
      </c>
      <c r="C1638" s="751" t="s">
        <v>2960</v>
      </c>
      <c r="D1638" s="752" t="s">
        <v>2501</v>
      </c>
      <c r="E1638" s="752" t="s">
        <v>2157</v>
      </c>
      <c r="F1638" s="751">
        <v>60584</v>
      </c>
      <c r="G1638" s="752" t="s">
        <v>59</v>
      </c>
      <c r="H1638" s="752" t="s">
        <v>1244</v>
      </c>
      <c r="I1638" s="752" t="s">
        <v>60</v>
      </c>
      <c r="J1638" s="751">
        <v>22</v>
      </c>
      <c r="K1638" s="751">
        <v>2</v>
      </c>
      <c r="L1638" s="752" t="s">
        <v>54</v>
      </c>
      <c r="M1638" s="752" t="s">
        <v>468</v>
      </c>
      <c r="N1638" s="752" t="s">
        <v>469</v>
      </c>
      <c r="O1638" s="752" t="s">
        <v>469</v>
      </c>
      <c r="P1638" s="752" t="s">
        <v>1238</v>
      </c>
      <c r="Q1638" s="753">
        <v>0</v>
      </c>
      <c r="R1638" s="753">
        <v>0</v>
      </c>
      <c r="S1638" s="753">
        <v>23117</v>
      </c>
      <c r="T1638" s="753">
        <v>23117</v>
      </c>
      <c r="U1638" s="753">
        <v>2596</v>
      </c>
      <c r="V1638" s="751">
        <v>2019</v>
      </c>
      <c r="W1638" s="222"/>
      <c r="X1638" s="186"/>
      <c r="Y1638" s="178" t="str">
        <f t="shared" si="80"/>
        <v/>
      </c>
      <c r="Z1638" s="178" t="str">
        <f t="shared" si="81"/>
        <v/>
      </c>
      <c r="AA1638" s="44"/>
      <c r="AB1638" s="65"/>
      <c r="AC1638" s="40"/>
    </row>
    <row r="1639" spans="1:29" hidden="1">
      <c r="A1639" s="751">
        <v>60986</v>
      </c>
      <c r="B1639" s="752" t="s">
        <v>35</v>
      </c>
      <c r="C1639" s="751" t="s">
        <v>2960</v>
      </c>
      <c r="D1639" s="752" t="s">
        <v>2158</v>
      </c>
      <c r="E1639" s="752" t="s">
        <v>2977</v>
      </c>
      <c r="F1639" s="751">
        <v>63249</v>
      </c>
      <c r="G1639" s="752" t="s">
        <v>83</v>
      </c>
      <c r="H1639" s="752" t="s">
        <v>1245</v>
      </c>
      <c r="I1639" s="752" t="s">
        <v>60</v>
      </c>
      <c r="J1639" s="751">
        <v>22</v>
      </c>
      <c r="K1639" s="751">
        <v>2</v>
      </c>
      <c r="L1639" s="752" t="s">
        <v>54</v>
      </c>
      <c r="M1639" s="752" t="s">
        <v>468</v>
      </c>
      <c r="N1639" s="752" t="s">
        <v>469</v>
      </c>
      <c r="O1639" s="752" t="s">
        <v>469</v>
      </c>
      <c r="P1639" s="752" t="s">
        <v>1238</v>
      </c>
      <c r="Q1639" s="753">
        <v>0</v>
      </c>
      <c r="R1639" s="753">
        <v>0</v>
      </c>
      <c r="S1639" s="753">
        <v>32187</v>
      </c>
      <c r="T1639" s="753">
        <v>32187</v>
      </c>
      <c r="U1639" s="753">
        <v>3615</v>
      </c>
      <c r="V1639" s="751">
        <v>2019</v>
      </c>
      <c r="W1639" s="222"/>
      <c r="X1639" s="186"/>
      <c r="Y1639" s="178" t="str">
        <f t="shared" si="80"/>
        <v/>
      </c>
      <c r="Z1639" s="178" t="str">
        <f t="shared" si="81"/>
        <v/>
      </c>
      <c r="AA1639" s="44"/>
      <c r="AB1639" s="65"/>
      <c r="AC1639" s="40"/>
    </row>
    <row r="1640" spans="1:29" hidden="1">
      <c r="A1640" s="751">
        <v>61002</v>
      </c>
      <c r="B1640" s="752" t="s">
        <v>35</v>
      </c>
      <c r="C1640" s="751" t="s">
        <v>2960</v>
      </c>
      <c r="D1640" s="752" t="s">
        <v>2159</v>
      </c>
      <c r="E1640" s="752" t="s">
        <v>2159</v>
      </c>
      <c r="F1640" s="751">
        <v>60621</v>
      </c>
      <c r="G1640" s="752" t="s">
        <v>136</v>
      </c>
      <c r="H1640" s="752" t="s">
        <v>1245</v>
      </c>
      <c r="I1640" s="752" t="s">
        <v>60</v>
      </c>
      <c r="J1640" s="751">
        <v>22</v>
      </c>
      <c r="K1640" s="751">
        <v>2</v>
      </c>
      <c r="L1640" s="752" t="s">
        <v>54</v>
      </c>
      <c r="M1640" s="752" t="s">
        <v>73</v>
      </c>
      <c r="N1640" s="752" t="s">
        <v>74</v>
      </c>
      <c r="O1640" s="752" t="s">
        <v>74</v>
      </c>
      <c r="P1640" s="752" t="s">
        <v>1238</v>
      </c>
      <c r="Q1640" s="753">
        <v>0</v>
      </c>
      <c r="R1640" s="753">
        <v>0</v>
      </c>
      <c r="S1640" s="753">
        <v>44262</v>
      </c>
      <c r="T1640" s="753">
        <v>44262</v>
      </c>
      <c r="U1640" s="753">
        <v>4971</v>
      </c>
      <c r="V1640" s="751">
        <v>2019</v>
      </c>
      <c r="W1640" s="222"/>
      <c r="X1640" s="186"/>
      <c r="Y1640" s="178" t="str">
        <f t="shared" si="80"/>
        <v/>
      </c>
      <c r="Z1640" s="178" t="str">
        <f t="shared" si="81"/>
        <v/>
      </c>
      <c r="AA1640" s="44"/>
      <c r="AB1640" s="65"/>
      <c r="AC1640" s="40"/>
    </row>
    <row r="1641" spans="1:29" hidden="1">
      <c r="A1641" s="751">
        <v>61003</v>
      </c>
      <c r="B1641" s="752" t="s">
        <v>35</v>
      </c>
      <c r="C1641" s="751" t="s">
        <v>2960</v>
      </c>
      <c r="D1641" s="752" t="s">
        <v>2160</v>
      </c>
      <c r="E1641" s="752" t="s">
        <v>2161</v>
      </c>
      <c r="F1641" s="751">
        <v>60643</v>
      </c>
      <c r="G1641" s="752" t="s">
        <v>59</v>
      </c>
      <c r="H1641" s="752" t="s">
        <v>1244</v>
      </c>
      <c r="I1641" s="752" t="s">
        <v>60</v>
      </c>
      <c r="J1641" s="751">
        <v>22</v>
      </c>
      <c r="K1641" s="751">
        <v>2</v>
      </c>
      <c r="L1641" s="752" t="s">
        <v>54</v>
      </c>
      <c r="M1641" s="752" t="s">
        <v>468</v>
      </c>
      <c r="N1641" s="752" t="s">
        <v>469</v>
      </c>
      <c r="O1641" s="752" t="s">
        <v>469</v>
      </c>
      <c r="P1641" s="752" t="s">
        <v>1238</v>
      </c>
      <c r="Q1641" s="753">
        <v>0</v>
      </c>
      <c r="R1641" s="753">
        <v>0</v>
      </c>
      <c r="S1641" s="753">
        <v>27968</v>
      </c>
      <c r="T1641" s="753">
        <v>27968</v>
      </c>
      <c r="U1641" s="753">
        <v>3141</v>
      </c>
      <c r="V1641" s="751">
        <v>2019</v>
      </c>
      <c r="W1641" s="222"/>
      <c r="X1641" s="186"/>
      <c r="Y1641" s="178" t="str">
        <f t="shared" si="80"/>
        <v/>
      </c>
      <c r="Z1641" s="178" t="str">
        <f t="shared" si="81"/>
        <v/>
      </c>
      <c r="AA1641" s="44"/>
      <c r="AB1641" s="65"/>
      <c r="AC1641" s="40"/>
    </row>
    <row r="1642" spans="1:29" hidden="1">
      <c r="A1642" s="751">
        <v>61007</v>
      </c>
      <c r="B1642" s="752" t="s">
        <v>35</v>
      </c>
      <c r="C1642" s="751" t="s">
        <v>2960</v>
      </c>
      <c r="D1642" s="752" t="s">
        <v>2297</v>
      </c>
      <c r="E1642" s="752" t="s">
        <v>2298</v>
      </c>
      <c r="F1642" s="751">
        <v>60649</v>
      </c>
      <c r="G1642" s="752" t="s">
        <v>83</v>
      </c>
      <c r="H1642" s="752" t="s">
        <v>1245</v>
      </c>
      <c r="I1642" s="752" t="s">
        <v>60</v>
      </c>
      <c r="J1642" s="751">
        <v>22</v>
      </c>
      <c r="K1642" s="751">
        <v>2</v>
      </c>
      <c r="L1642" s="752" t="s">
        <v>54</v>
      </c>
      <c r="M1642" s="752" t="s">
        <v>468</v>
      </c>
      <c r="N1642" s="752" t="s">
        <v>469</v>
      </c>
      <c r="O1642" s="752" t="s">
        <v>469</v>
      </c>
      <c r="P1642" s="752" t="s">
        <v>1238</v>
      </c>
      <c r="Q1642" s="753">
        <v>0</v>
      </c>
      <c r="R1642" s="753">
        <v>0</v>
      </c>
      <c r="S1642" s="753">
        <v>57174</v>
      </c>
      <c r="T1642" s="753">
        <v>57174</v>
      </c>
      <c r="U1642" s="753">
        <v>6421</v>
      </c>
      <c r="V1642" s="751">
        <v>2019</v>
      </c>
      <c r="W1642" s="222"/>
      <c r="X1642" s="186"/>
      <c r="Y1642" s="86" t="str">
        <f t="shared" si="80"/>
        <v/>
      </c>
      <c r="Z1642" s="86" t="str">
        <f t="shared" si="81"/>
        <v/>
      </c>
      <c r="AA1642" s="44"/>
      <c r="AB1642" s="65"/>
      <c r="AC1642" s="40"/>
    </row>
    <row r="1643" spans="1:29" hidden="1">
      <c r="A1643" s="751">
        <v>61008</v>
      </c>
      <c r="B1643" s="752" t="s">
        <v>35</v>
      </c>
      <c r="C1643" s="751" t="s">
        <v>2960</v>
      </c>
      <c r="D1643" s="752" t="s">
        <v>2299</v>
      </c>
      <c r="E1643" s="752" t="s">
        <v>2300</v>
      </c>
      <c r="F1643" s="751">
        <v>60650</v>
      </c>
      <c r="G1643" s="752" t="s">
        <v>83</v>
      </c>
      <c r="H1643" s="752" t="s">
        <v>1245</v>
      </c>
      <c r="I1643" s="752" t="s">
        <v>60</v>
      </c>
      <c r="J1643" s="751">
        <v>22</v>
      </c>
      <c r="K1643" s="751">
        <v>2</v>
      </c>
      <c r="L1643" s="752" t="s">
        <v>54</v>
      </c>
      <c r="M1643" s="752" t="s">
        <v>468</v>
      </c>
      <c r="N1643" s="752" t="s">
        <v>469</v>
      </c>
      <c r="O1643" s="752" t="s">
        <v>469</v>
      </c>
      <c r="P1643" s="752" t="s">
        <v>1238</v>
      </c>
      <c r="Q1643" s="753">
        <v>0</v>
      </c>
      <c r="R1643" s="753">
        <v>0</v>
      </c>
      <c r="S1643" s="753">
        <v>74320</v>
      </c>
      <c r="T1643" s="753">
        <v>74320</v>
      </c>
      <c r="U1643" s="753">
        <v>8347</v>
      </c>
      <c r="V1643" s="751">
        <v>2019</v>
      </c>
      <c r="W1643" s="222"/>
      <c r="X1643" s="186"/>
      <c r="Y1643" s="86" t="str">
        <f t="shared" si="80"/>
        <v/>
      </c>
      <c r="Z1643" s="86" t="str">
        <f t="shared" si="81"/>
        <v/>
      </c>
      <c r="AA1643" s="44"/>
      <c r="AB1643" s="65"/>
      <c r="AC1643" s="40"/>
    </row>
    <row r="1644" spans="1:29" hidden="1">
      <c r="A1644" s="751">
        <v>61009</v>
      </c>
      <c r="B1644" s="752" t="s">
        <v>35</v>
      </c>
      <c r="C1644" s="751" t="s">
        <v>2960</v>
      </c>
      <c r="D1644" s="752" t="s">
        <v>2301</v>
      </c>
      <c r="E1644" s="752" t="s">
        <v>2302</v>
      </c>
      <c r="F1644" s="751">
        <v>60651</v>
      </c>
      <c r="G1644" s="752" t="s">
        <v>83</v>
      </c>
      <c r="H1644" s="752" t="s">
        <v>1245</v>
      </c>
      <c r="I1644" s="752" t="s">
        <v>60</v>
      </c>
      <c r="J1644" s="751">
        <v>22</v>
      </c>
      <c r="K1644" s="751">
        <v>2</v>
      </c>
      <c r="L1644" s="752" t="s">
        <v>54</v>
      </c>
      <c r="M1644" s="752" t="s">
        <v>468</v>
      </c>
      <c r="N1644" s="752" t="s">
        <v>469</v>
      </c>
      <c r="O1644" s="752" t="s">
        <v>469</v>
      </c>
      <c r="P1644" s="752" t="s">
        <v>1238</v>
      </c>
      <c r="Q1644" s="753">
        <v>0</v>
      </c>
      <c r="R1644" s="753">
        <v>0</v>
      </c>
      <c r="S1644" s="753">
        <v>26792</v>
      </c>
      <c r="T1644" s="753">
        <v>26792</v>
      </c>
      <c r="U1644" s="753">
        <v>3009</v>
      </c>
      <c r="V1644" s="751">
        <v>2019</v>
      </c>
      <c r="W1644" s="222"/>
      <c r="X1644" s="186"/>
      <c r="Y1644" s="178" t="str">
        <f t="shared" si="80"/>
        <v/>
      </c>
      <c r="Z1644" s="178" t="str">
        <f t="shared" si="81"/>
        <v/>
      </c>
      <c r="AA1644" s="44"/>
      <c r="AB1644" s="65"/>
      <c r="AC1644" s="40"/>
    </row>
    <row r="1645" spans="1:29" hidden="1">
      <c r="A1645" s="751">
        <v>61010</v>
      </c>
      <c r="B1645" s="752" t="s">
        <v>35</v>
      </c>
      <c r="C1645" s="751" t="s">
        <v>2960</v>
      </c>
      <c r="D1645" s="752" t="s">
        <v>2303</v>
      </c>
      <c r="E1645" s="752" t="s">
        <v>2304</v>
      </c>
      <c r="F1645" s="751">
        <v>60655</v>
      </c>
      <c r="G1645" s="752" t="s">
        <v>83</v>
      </c>
      <c r="H1645" s="752" t="s">
        <v>1245</v>
      </c>
      <c r="I1645" s="752" t="s">
        <v>60</v>
      </c>
      <c r="J1645" s="751">
        <v>22</v>
      </c>
      <c r="K1645" s="751">
        <v>2</v>
      </c>
      <c r="L1645" s="752" t="s">
        <v>54</v>
      </c>
      <c r="M1645" s="752" t="s">
        <v>468</v>
      </c>
      <c r="N1645" s="752" t="s">
        <v>469</v>
      </c>
      <c r="O1645" s="752" t="s">
        <v>469</v>
      </c>
      <c r="P1645" s="752" t="s">
        <v>1238</v>
      </c>
      <c r="Q1645" s="753">
        <v>0</v>
      </c>
      <c r="R1645" s="753">
        <v>0</v>
      </c>
      <c r="S1645" s="753">
        <v>66558</v>
      </c>
      <c r="T1645" s="753">
        <v>66558</v>
      </c>
      <c r="U1645" s="753">
        <v>7475</v>
      </c>
      <c r="V1645" s="751">
        <v>2019</v>
      </c>
      <c r="W1645" s="222"/>
      <c r="X1645" s="186"/>
      <c r="Y1645" s="178" t="str">
        <f t="shared" si="80"/>
        <v/>
      </c>
      <c r="Z1645" s="178" t="str">
        <f t="shared" si="81"/>
        <v/>
      </c>
      <c r="AA1645" s="44"/>
      <c r="AB1645" s="65"/>
      <c r="AC1645" s="40"/>
    </row>
    <row r="1646" spans="1:29" ht="25" hidden="1">
      <c r="A1646" s="751">
        <v>61012</v>
      </c>
      <c r="B1646" s="752" t="s">
        <v>35</v>
      </c>
      <c r="C1646" s="751" t="s">
        <v>2960</v>
      </c>
      <c r="D1646" s="752" t="s">
        <v>2162</v>
      </c>
      <c r="E1646" s="752" t="s">
        <v>945</v>
      </c>
      <c r="F1646" s="751">
        <v>54842</v>
      </c>
      <c r="G1646" s="752" t="s">
        <v>59</v>
      </c>
      <c r="H1646" s="752" t="s">
        <v>1244</v>
      </c>
      <c r="I1646" s="752" t="s">
        <v>60</v>
      </c>
      <c r="J1646" s="751">
        <v>22</v>
      </c>
      <c r="K1646" s="751">
        <v>2</v>
      </c>
      <c r="L1646" s="752" t="s">
        <v>54</v>
      </c>
      <c r="M1646" s="752" t="s">
        <v>53</v>
      </c>
      <c r="N1646" s="752" t="s">
        <v>65</v>
      </c>
      <c r="O1646" s="752" t="s">
        <v>66</v>
      </c>
      <c r="P1646" s="752" t="s">
        <v>1091</v>
      </c>
      <c r="Q1646" s="753">
        <v>1205495</v>
      </c>
      <c r="R1646" s="753">
        <v>1205495</v>
      </c>
      <c r="S1646" s="753">
        <v>642530</v>
      </c>
      <c r="T1646" s="753">
        <v>642530</v>
      </c>
      <c r="U1646" s="753">
        <v>52127</v>
      </c>
      <c r="V1646" s="751">
        <v>2019</v>
      </c>
      <c r="W1646" s="222"/>
      <c r="X1646" s="186"/>
      <c r="Y1646" s="178" t="str">
        <f t="shared" si="80"/>
        <v/>
      </c>
      <c r="Z1646" s="178" t="str">
        <f t="shared" si="81"/>
        <v/>
      </c>
      <c r="AA1646" s="44"/>
      <c r="AB1646" s="65"/>
      <c r="AC1646" s="40"/>
    </row>
    <row r="1647" spans="1:29" hidden="1">
      <c r="A1647" s="751">
        <v>61015</v>
      </c>
      <c r="B1647" s="752" t="s">
        <v>35</v>
      </c>
      <c r="C1647" s="751" t="s">
        <v>2960</v>
      </c>
      <c r="D1647" s="752" t="s">
        <v>2163</v>
      </c>
      <c r="E1647" s="752" t="s">
        <v>2161</v>
      </c>
      <c r="F1647" s="751">
        <v>60643</v>
      </c>
      <c r="G1647" s="752" t="s">
        <v>59</v>
      </c>
      <c r="H1647" s="752" t="s">
        <v>1244</v>
      </c>
      <c r="I1647" s="752" t="s">
        <v>60</v>
      </c>
      <c r="J1647" s="751">
        <v>22</v>
      </c>
      <c r="K1647" s="751">
        <v>2</v>
      </c>
      <c r="L1647" s="752" t="s">
        <v>54</v>
      </c>
      <c r="M1647" s="752" t="s">
        <v>468</v>
      </c>
      <c r="N1647" s="752" t="s">
        <v>469</v>
      </c>
      <c r="O1647" s="752" t="s">
        <v>469</v>
      </c>
      <c r="P1647" s="752" t="s">
        <v>1238</v>
      </c>
      <c r="Q1647" s="753">
        <v>0</v>
      </c>
      <c r="R1647" s="753">
        <v>0</v>
      </c>
      <c r="S1647" s="753">
        <v>27825</v>
      </c>
      <c r="T1647" s="753">
        <v>27825</v>
      </c>
      <c r="U1647" s="753">
        <v>3125</v>
      </c>
      <c r="V1647" s="751">
        <v>2019</v>
      </c>
      <c r="W1647" s="222"/>
      <c r="X1647" s="186"/>
      <c r="Y1647" s="178" t="str">
        <f t="shared" si="80"/>
        <v/>
      </c>
      <c r="Z1647" s="178" t="str">
        <f t="shared" si="81"/>
        <v/>
      </c>
      <c r="AA1647" s="44"/>
      <c r="AB1647" s="65"/>
      <c r="AC1647" s="40"/>
    </row>
    <row r="1648" spans="1:29" hidden="1">
      <c r="A1648" s="751">
        <v>61016</v>
      </c>
      <c r="B1648" s="752" t="s">
        <v>35</v>
      </c>
      <c r="C1648" s="751" t="s">
        <v>2960</v>
      </c>
      <c r="D1648" s="752" t="s">
        <v>2305</v>
      </c>
      <c r="E1648" s="752" t="s">
        <v>2306</v>
      </c>
      <c r="F1648" s="751">
        <v>60652</v>
      </c>
      <c r="G1648" s="752" t="s">
        <v>83</v>
      </c>
      <c r="H1648" s="752" t="s">
        <v>1245</v>
      </c>
      <c r="I1648" s="752" t="s">
        <v>60</v>
      </c>
      <c r="J1648" s="751">
        <v>22</v>
      </c>
      <c r="K1648" s="751">
        <v>2</v>
      </c>
      <c r="L1648" s="752" t="s">
        <v>54</v>
      </c>
      <c r="M1648" s="752" t="s">
        <v>468</v>
      </c>
      <c r="N1648" s="752" t="s">
        <v>469</v>
      </c>
      <c r="O1648" s="752" t="s">
        <v>469</v>
      </c>
      <c r="P1648" s="752" t="s">
        <v>1238</v>
      </c>
      <c r="Q1648" s="753">
        <v>0</v>
      </c>
      <c r="R1648" s="753">
        <v>0</v>
      </c>
      <c r="S1648" s="753">
        <v>27808</v>
      </c>
      <c r="T1648" s="753">
        <v>27808</v>
      </c>
      <c r="U1648" s="753">
        <v>3123</v>
      </c>
      <c r="V1648" s="751">
        <v>2019</v>
      </c>
      <c r="W1648" s="222"/>
      <c r="X1648" s="186"/>
      <c r="Y1648" s="178" t="str">
        <f t="shared" si="80"/>
        <v/>
      </c>
      <c r="Z1648" s="178" t="str">
        <f t="shared" si="81"/>
        <v/>
      </c>
      <c r="AA1648" s="44"/>
      <c r="AB1648" s="65"/>
      <c r="AC1648" s="40"/>
    </row>
    <row r="1649" spans="1:29" hidden="1">
      <c r="A1649" s="751">
        <v>61017</v>
      </c>
      <c r="B1649" s="752" t="s">
        <v>35</v>
      </c>
      <c r="C1649" s="751" t="s">
        <v>2960</v>
      </c>
      <c r="D1649" s="752" t="s">
        <v>2307</v>
      </c>
      <c r="E1649" s="752" t="s">
        <v>2308</v>
      </c>
      <c r="F1649" s="751">
        <v>60653</v>
      </c>
      <c r="G1649" s="752" t="s">
        <v>83</v>
      </c>
      <c r="H1649" s="752" t="s">
        <v>1245</v>
      </c>
      <c r="I1649" s="752" t="s">
        <v>60</v>
      </c>
      <c r="J1649" s="751">
        <v>22</v>
      </c>
      <c r="K1649" s="751">
        <v>2</v>
      </c>
      <c r="L1649" s="752" t="s">
        <v>54</v>
      </c>
      <c r="M1649" s="752" t="s">
        <v>468</v>
      </c>
      <c r="N1649" s="752" t="s">
        <v>469</v>
      </c>
      <c r="O1649" s="752" t="s">
        <v>469</v>
      </c>
      <c r="P1649" s="752" t="s">
        <v>1238</v>
      </c>
      <c r="Q1649" s="753">
        <v>0</v>
      </c>
      <c r="R1649" s="753">
        <v>0</v>
      </c>
      <c r="S1649" s="753">
        <v>30933</v>
      </c>
      <c r="T1649" s="753">
        <v>30933</v>
      </c>
      <c r="U1649" s="753">
        <v>3474</v>
      </c>
      <c r="V1649" s="751">
        <v>2019</v>
      </c>
      <c r="W1649" s="222"/>
      <c r="X1649" s="186"/>
      <c r="Y1649" s="178" t="str">
        <f t="shared" si="80"/>
        <v/>
      </c>
      <c r="Z1649" s="178" t="str">
        <f t="shared" si="81"/>
        <v/>
      </c>
      <c r="AA1649" s="44"/>
      <c r="AB1649" s="65"/>
      <c r="AC1649" s="40"/>
    </row>
    <row r="1650" spans="1:29" hidden="1">
      <c r="A1650" s="751">
        <v>61018</v>
      </c>
      <c r="B1650" s="752" t="s">
        <v>35</v>
      </c>
      <c r="C1650" s="751" t="s">
        <v>2960</v>
      </c>
      <c r="D1650" s="752" t="s">
        <v>2309</v>
      </c>
      <c r="E1650" s="752" t="s">
        <v>2310</v>
      </c>
      <c r="F1650" s="751">
        <v>60654</v>
      </c>
      <c r="G1650" s="752" t="s">
        <v>83</v>
      </c>
      <c r="H1650" s="752" t="s">
        <v>1245</v>
      </c>
      <c r="I1650" s="752" t="s">
        <v>60</v>
      </c>
      <c r="J1650" s="751">
        <v>22</v>
      </c>
      <c r="K1650" s="751">
        <v>2</v>
      </c>
      <c r="L1650" s="752" t="s">
        <v>54</v>
      </c>
      <c r="M1650" s="752" t="s">
        <v>468</v>
      </c>
      <c r="N1650" s="752" t="s">
        <v>469</v>
      </c>
      <c r="O1650" s="752" t="s">
        <v>469</v>
      </c>
      <c r="P1650" s="752" t="s">
        <v>1238</v>
      </c>
      <c r="Q1650" s="753">
        <v>0</v>
      </c>
      <c r="R1650" s="753">
        <v>0</v>
      </c>
      <c r="S1650" s="753">
        <v>14757</v>
      </c>
      <c r="T1650" s="753">
        <v>14757</v>
      </c>
      <c r="U1650" s="753">
        <v>1657</v>
      </c>
      <c r="V1650" s="751">
        <v>2019</v>
      </c>
      <c r="W1650" s="222"/>
      <c r="X1650" s="186"/>
      <c r="Y1650" s="178" t="str">
        <f t="shared" si="80"/>
        <v/>
      </c>
      <c r="Z1650" s="178" t="str">
        <f t="shared" si="81"/>
        <v/>
      </c>
      <c r="AA1650" s="44"/>
      <c r="AB1650" s="65"/>
      <c r="AC1650" s="40"/>
    </row>
    <row r="1651" spans="1:29" ht="25" hidden="1">
      <c r="A1651" s="751">
        <v>61025</v>
      </c>
      <c r="B1651" s="752" t="s">
        <v>35</v>
      </c>
      <c r="C1651" s="751" t="s">
        <v>2960</v>
      </c>
      <c r="D1651" s="752" t="s">
        <v>2164</v>
      </c>
      <c r="E1651" s="752" t="s">
        <v>2165</v>
      </c>
      <c r="F1651" s="751">
        <v>60675</v>
      </c>
      <c r="G1651" s="752" t="s">
        <v>59</v>
      </c>
      <c r="H1651" s="752" t="s">
        <v>1244</v>
      </c>
      <c r="I1651" s="752" t="s">
        <v>60</v>
      </c>
      <c r="J1651" s="751">
        <v>622</v>
      </c>
      <c r="K1651" s="751">
        <v>4</v>
      </c>
      <c r="L1651" s="752" t="s">
        <v>422</v>
      </c>
      <c r="M1651" s="752" t="s">
        <v>53</v>
      </c>
      <c r="N1651" s="752" t="s">
        <v>48</v>
      </c>
      <c r="O1651" s="752" t="s">
        <v>48</v>
      </c>
      <c r="P1651" s="752" t="s">
        <v>49</v>
      </c>
      <c r="Q1651" s="753">
        <v>8</v>
      </c>
      <c r="R1651" s="753">
        <v>8</v>
      </c>
      <c r="S1651" s="753">
        <v>45</v>
      </c>
      <c r="T1651" s="753">
        <v>45</v>
      </c>
      <c r="U1651" s="753">
        <v>7</v>
      </c>
      <c r="V1651" s="751">
        <v>2019</v>
      </c>
      <c r="W1651" s="222"/>
      <c r="X1651" s="186"/>
      <c r="Y1651" s="178" t="str">
        <f t="shared" si="80"/>
        <v/>
      </c>
      <c r="Z1651" s="178" t="str">
        <f t="shared" si="81"/>
        <v/>
      </c>
      <c r="AA1651" s="44"/>
      <c r="AB1651" s="65"/>
      <c r="AC1651" s="40"/>
    </row>
    <row r="1652" spans="1:29" ht="25" hidden="1">
      <c r="A1652" s="751">
        <v>61026</v>
      </c>
      <c r="B1652" s="752" t="s">
        <v>35</v>
      </c>
      <c r="C1652" s="751" t="s">
        <v>2960</v>
      </c>
      <c r="D1652" s="752" t="s">
        <v>2166</v>
      </c>
      <c r="E1652" s="752" t="s">
        <v>2167</v>
      </c>
      <c r="F1652" s="751">
        <v>60676</v>
      </c>
      <c r="G1652" s="752" t="s">
        <v>59</v>
      </c>
      <c r="H1652" s="752" t="s">
        <v>1244</v>
      </c>
      <c r="I1652" s="752" t="s">
        <v>60</v>
      </c>
      <c r="J1652" s="751">
        <v>622</v>
      </c>
      <c r="K1652" s="751">
        <v>4</v>
      </c>
      <c r="L1652" s="752" t="s">
        <v>422</v>
      </c>
      <c r="M1652" s="752" t="s">
        <v>53</v>
      </c>
      <c r="N1652" s="752" t="s">
        <v>48</v>
      </c>
      <c r="O1652" s="752" t="s">
        <v>48</v>
      </c>
      <c r="P1652" s="752" t="s">
        <v>49</v>
      </c>
      <c r="Q1652" s="753">
        <v>157</v>
      </c>
      <c r="R1652" s="753">
        <v>157</v>
      </c>
      <c r="S1652" s="753">
        <v>864</v>
      </c>
      <c r="T1652" s="753">
        <v>864</v>
      </c>
      <c r="U1652" s="753">
        <v>65</v>
      </c>
      <c r="V1652" s="751">
        <v>2019</v>
      </c>
      <c r="W1652" s="222"/>
      <c r="X1652" s="186"/>
      <c r="Y1652" s="178" t="str">
        <f t="shared" si="80"/>
        <v/>
      </c>
      <c r="Z1652" s="178" t="str">
        <f t="shared" si="81"/>
        <v/>
      </c>
      <c r="AA1652" s="44"/>
      <c r="AB1652" s="65"/>
      <c r="AC1652" s="40"/>
    </row>
    <row r="1653" spans="1:29" hidden="1">
      <c r="A1653" s="751">
        <v>61030</v>
      </c>
      <c r="B1653" s="752" t="s">
        <v>35</v>
      </c>
      <c r="C1653" s="751" t="s">
        <v>2960</v>
      </c>
      <c r="D1653" s="752" t="s">
        <v>2168</v>
      </c>
      <c r="E1653" s="752" t="s">
        <v>2169</v>
      </c>
      <c r="F1653" s="751">
        <v>60669</v>
      </c>
      <c r="G1653" s="752" t="s">
        <v>59</v>
      </c>
      <c r="H1653" s="752" t="s">
        <v>1244</v>
      </c>
      <c r="I1653" s="752" t="s">
        <v>60</v>
      </c>
      <c r="J1653" s="751">
        <v>22</v>
      </c>
      <c r="K1653" s="751">
        <v>2</v>
      </c>
      <c r="L1653" s="752" t="s">
        <v>54</v>
      </c>
      <c r="M1653" s="752" t="s">
        <v>468</v>
      </c>
      <c r="N1653" s="752" t="s">
        <v>469</v>
      </c>
      <c r="O1653" s="752" t="s">
        <v>469</v>
      </c>
      <c r="P1653" s="752" t="s">
        <v>1238</v>
      </c>
      <c r="Q1653" s="753">
        <v>0</v>
      </c>
      <c r="R1653" s="753">
        <v>0</v>
      </c>
      <c r="S1653" s="753">
        <v>26586</v>
      </c>
      <c r="T1653" s="753">
        <v>26586</v>
      </c>
      <c r="U1653" s="753">
        <v>2986</v>
      </c>
      <c r="V1653" s="751">
        <v>2019</v>
      </c>
      <c r="W1653" s="222"/>
      <c r="X1653" s="186">
        <f>IF(OR(K1653&gt;3,T1653=0,NOT(U1653&gt;0)),"",T1653/U1653)</f>
        <v>8.9035498995311446</v>
      </c>
      <c r="Y1653" s="178" t="str">
        <f t="shared" si="80"/>
        <v/>
      </c>
      <c r="Z1653" s="178" t="str">
        <f t="shared" si="81"/>
        <v/>
      </c>
      <c r="AA1653" s="44"/>
      <c r="AB1653" s="65"/>
      <c r="AC1653" s="40"/>
    </row>
    <row r="1654" spans="1:29" hidden="1">
      <c r="A1654" s="751">
        <v>61039</v>
      </c>
      <c r="B1654" s="752" t="s">
        <v>35</v>
      </c>
      <c r="C1654" s="751" t="s">
        <v>2960</v>
      </c>
      <c r="D1654" s="752" t="s">
        <v>2311</v>
      </c>
      <c r="E1654" s="752" t="s">
        <v>2030</v>
      </c>
      <c r="F1654" s="751">
        <v>15399</v>
      </c>
      <c r="G1654" s="752" t="s">
        <v>91</v>
      </c>
      <c r="H1654" s="752" t="s">
        <v>1245</v>
      </c>
      <c r="I1654" s="752" t="s">
        <v>60</v>
      </c>
      <c r="J1654" s="751">
        <v>22</v>
      </c>
      <c r="K1654" s="751">
        <v>2</v>
      </c>
      <c r="L1654" s="752" t="s">
        <v>54</v>
      </c>
      <c r="M1654" s="752" t="s">
        <v>73</v>
      </c>
      <c r="N1654" s="752" t="s">
        <v>74</v>
      </c>
      <c r="O1654" s="752" t="s">
        <v>74</v>
      </c>
      <c r="P1654" s="752" t="s">
        <v>1238</v>
      </c>
      <c r="Q1654" s="753">
        <v>0</v>
      </c>
      <c r="R1654" s="753">
        <v>0</v>
      </c>
      <c r="S1654" s="753">
        <v>917352</v>
      </c>
      <c r="T1654" s="753">
        <v>917352</v>
      </c>
      <c r="U1654" s="753">
        <v>103027</v>
      </c>
      <c r="V1654" s="751">
        <v>2019</v>
      </c>
      <c r="W1654" s="222"/>
      <c r="X1654" s="186"/>
      <c r="Y1654" s="86" t="str">
        <f t="shared" si="80"/>
        <v/>
      </c>
      <c r="Z1654" s="86" t="str">
        <f t="shared" si="81"/>
        <v/>
      </c>
      <c r="AA1654" s="44"/>
      <c r="AB1654" s="65"/>
      <c r="AC1654" s="40"/>
    </row>
    <row r="1655" spans="1:29" ht="25" hidden="1">
      <c r="A1655" s="751">
        <v>61042</v>
      </c>
      <c r="B1655" s="752" t="s">
        <v>35</v>
      </c>
      <c r="C1655" s="751" t="s">
        <v>2960</v>
      </c>
      <c r="D1655" s="752" t="s">
        <v>2312</v>
      </c>
      <c r="E1655" s="752" t="s">
        <v>2154</v>
      </c>
      <c r="F1655" s="751">
        <v>60571</v>
      </c>
      <c r="G1655" s="752" t="s">
        <v>59</v>
      </c>
      <c r="H1655" s="752" t="s">
        <v>1244</v>
      </c>
      <c r="I1655" s="752" t="s">
        <v>60</v>
      </c>
      <c r="J1655" s="751">
        <v>22</v>
      </c>
      <c r="K1655" s="751">
        <v>2</v>
      </c>
      <c r="L1655" s="752" t="s">
        <v>54</v>
      </c>
      <c r="M1655" s="752" t="s">
        <v>468</v>
      </c>
      <c r="N1655" s="752" t="s">
        <v>469</v>
      </c>
      <c r="O1655" s="752" t="s">
        <v>469</v>
      </c>
      <c r="P1655" s="752" t="s">
        <v>1238</v>
      </c>
      <c r="Q1655" s="753">
        <v>0</v>
      </c>
      <c r="R1655" s="753">
        <v>0</v>
      </c>
      <c r="S1655" s="753">
        <v>15697</v>
      </c>
      <c r="T1655" s="753">
        <v>15697</v>
      </c>
      <c r="U1655" s="753">
        <v>1763</v>
      </c>
      <c r="V1655" s="751">
        <v>2019</v>
      </c>
      <c r="W1655" s="222"/>
      <c r="X1655" s="186"/>
      <c r="Y1655" s="86" t="str">
        <f t="shared" si="80"/>
        <v/>
      </c>
      <c r="Z1655" s="86" t="str">
        <f t="shared" si="81"/>
        <v/>
      </c>
      <c r="AA1655" s="44"/>
      <c r="AB1655" s="65"/>
      <c r="AC1655" s="40"/>
    </row>
    <row r="1656" spans="1:29" hidden="1">
      <c r="A1656" s="751">
        <v>61043</v>
      </c>
      <c r="B1656" s="752" t="s">
        <v>35</v>
      </c>
      <c r="C1656" s="751" t="s">
        <v>2960</v>
      </c>
      <c r="D1656" s="752" t="s">
        <v>2170</v>
      </c>
      <c r="E1656" s="752" t="s">
        <v>2154</v>
      </c>
      <c r="F1656" s="751">
        <v>60571</v>
      </c>
      <c r="G1656" s="752" t="s">
        <v>59</v>
      </c>
      <c r="H1656" s="752" t="s">
        <v>1244</v>
      </c>
      <c r="I1656" s="752" t="s">
        <v>60</v>
      </c>
      <c r="J1656" s="751">
        <v>22</v>
      </c>
      <c r="K1656" s="751">
        <v>2</v>
      </c>
      <c r="L1656" s="752" t="s">
        <v>54</v>
      </c>
      <c r="M1656" s="752" t="s">
        <v>468</v>
      </c>
      <c r="N1656" s="752" t="s">
        <v>469</v>
      </c>
      <c r="O1656" s="752" t="s">
        <v>469</v>
      </c>
      <c r="P1656" s="752" t="s">
        <v>1238</v>
      </c>
      <c r="Q1656" s="753">
        <v>0</v>
      </c>
      <c r="R1656" s="753">
        <v>0</v>
      </c>
      <c r="S1656" s="753">
        <v>22848</v>
      </c>
      <c r="T1656" s="753">
        <v>22848</v>
      </c>
      <c r="U1656" s="753">
        <v>2566</v>
      </c>
      <c r="V1656" s="751">
        <v>2019</v>
      </c>
      <c r="W1656" s="222"/>
      <c r="X1656" s="186"/>
      <c r="Y1656" s="178" t="str">
        <f t="shared" si="80"/>
        <v/>
      </c>
      <c r="Z1656" s="178" t="str">
        <f t="shared" si="81"/>
        <v/>
      </c>
      <c r="AA1656" s="44"/>
      <c r="AB1656" s="65"/>
      <c r="AC1656" s="40"/>
    </row>
    <row r="1657" spans="1:29" ht="25" hidden="1">
      <c r="A1657" s="751">
        <v>61069</v>
      </c>
      <c r="B1657" s="752" t="s">
        <v>35</v>
      </c>
      <c r="C1657" s="751" t="s">
        <v>2960</v>
      </c>
      <c r="D1657" s="752" t="s">
        <v>2313</v>
      </c>
      <c r="E1657" s="752" t="s">
        <v>2314</v>
      </c>
      <c r="F1657" s="751">
        <v>60692</v>
      </c>
      <c r="G1657" s="752" t="s">
        <v>83</v>
      </c>
      <c r="H1657" s="752" t="s">
        <v>1245</v>
      </c>
      <c r="I1657" s="752" t="s">
        <v>60</v>
      </c>
      <c r="J1657" s="751">
        <v>22</v>
      </c>
      <c r="K1657" s="751">
        <v>2</v>
      </c>
      <c r="L1657" s="752" t="s">
        <v>54</v>
      </c>
      <c r="M1657" s="752" t="s">
        <v>468</v>
      </c>
      <c r="N1657" s="752" t="s">
        <v>469</v>
      </c>
      <c r="O1657" s="752" t="s">
        <v>469</v>
      </c>
      <c r="P1657" s="752" t="s">
        <v>1238</v>
      </c>
      <c r="Q1657" s="753">
        <v>0</v>
      </c>
      <c r="R1657" s="753">
        <v>0</v>
      </c>
      <c r="S1657" s="753">
        <v>43326</v>
      </c>
      <c r="T1657" s="753">
        <v>43326</v>
      </c>
      <c r="U1657" s="753">
        <v>4866</v>
      </c>
      <c r="V1657" s="751">
        <v>2019</v>
      </c>
      <c r="W1657" s="222"/>
      <c r="X1657" s="186"/>
      <c r="Y1657" s="86" t="str">
        <f t="shared" si="80"/>
        <v/>
      </c>
      <c r="Z1657" s="86" t="str">
        <f t="shared" si="81"/>
        <v/>
      </c>
      <c r="AA1657" s="44"/>
      <c r="AB1657" s="65"/>
      <c r="AC1657" s="40"/>
    </row>
    <row r="1658" spans="1:29" hidden="1">
      <c r="A1658" s="751">
        <v>61097</v>
      </c>
      <c r="B1658" s="752" t="s">
        <v>35</v>
      </c>
      <c r="C1658" s="751" t="s">
        <v>2960</v>
      </c>
      <c r="D1658" s="752" t="s">
        <v>2171</v>
      </c>
      <c r="E1658" s="752" t="s">
        <v>2172</v>
      </c>
      <c r="F1658" s="751">
        <v>60710</v>
      </c>
      <c r="G1658" s="752" t="s">
        <v>83</v>
      </c>
      <c r="H1658" s="752" t="s">
        <v>1245</v>
      </c>
      <c r="I1658" s="752" t="s">
        <v>60</v>
      </c>
      <c r="J1658" s="751">
        <v>22</v>
      </c>
      <c r="K1658" s="751">
        <v>2</v>
      </c>
      <c r="L1658" s="752" t="s">
        <v>54</v>
      </c>
      <c r="M1658" s="752" t="s">
        <v>468</v>
      </c>
      <c r="N1658" s="752" t="s">
        <v>469</v>
      </c>
      <c r="O1658" s="752" t="s">
        <v>469</v>
      </c>
      <c r="P1658" s="752" t="s">
        <v>1238</v>
      </c>
      <c r="Q1658" s="753">
        <v>0</v>
      </c>
      <c r="R1658" s="753">
        <v>0</v>
      </c>
      <c r="S1658" s="753">
        <v>60636</v>
      </c>
      <c r="T1658" s="753">
        <v>60636</v>
      </c>
      <c r="U1658" s="753">
        <v>6810</v>
      </c>
      <c r="V1658" s="751">
        <v>2019</v>
      </c>
      <c r="W1658" s="222"/>
      <c r="X1658" s="186"/>
      <c r="Y1658" s="178" t="str">
        <f t="shared" si="80"/>
        <v/>
      </c>
      <c r="Z1658" s="178" t="str">
        <f t="shared" si="81"/>
        <v/>
      </c>
      <c r="AA1658" s="44"/>
      <c r="AB1658" s="65"/>
      <c r="AC1658" s="40"/>
    </row>
    <row r="1659" spans="1:29" hidden="1">
      <c r="A1659" s="751">
        <v>61124</v>
      </c>
      <c r="B1659" s="752" t="s">
        <v>35</v>
      </c>
      <c r="C1659" s="751" t="s">
        <v>2960</v>
      </c>
      <c r="D1659" s="752" t="s">
        <v>2315</v>
      </c>
      <c r="E1659" s="752" t="s">
        <v>2316</v>
      </c>
      <c r="F1659" s="751">
        <v>60734</v>
      </c>
      <c r="G1659" s="752" t="s">
        <v>91</v>
      </c>
      <c r="H1659" s="752" t="s">
        <v>1245</v>
      </c>
      <c r="I1659" s="752" t="s">
        <v>60</v>
      </c>
      <c r="J1659" s="751">
        <v>22</v>
      </c>
      <c r="K1659" s="751">
        <v>2</v>
      </c>
      <c r="L1659" s="752" t="s">
        <v>54</v>
      </c>
      <c r="M1659" s="752" t="s">
        <v>468</v>
      </c>
      <c r="N1659" s="752" t="s">
        <v>469</v>
      </c>
      <c r="O1659" s="752" t="s">
        <v>469</v>
      </c>
      <c r="P1659" s="752" t="s">
        <v>1238</v>
      </c>
      <c r="Q1659" s="753">
        <v>0</v>
      </c>
      <c r="R1659" s="753">
        <v>0</v>
      </c>
      <c r="S1659" s="753">
        <v>61056</v>
      </c>
      <c r="T1659" s="753">
        <v>61056</v>
      </c>
      <c r="U1659" s="753">
        <v>6857</v>
      </c>
      <c r="V1659" s="751">
        <v>2019</v>
      </c>
      <c r="W1659" s="222"/>
      <c r="X1659" s="186"/>
      <c r="Y1659" s="178" t="str">
        <f t="shared" si="80"/>
        <v/>
      </c>
      <c r="Z1659" s="178" t="str">
        <f t="shared" si="81"/>
        <v/>
      </c>
      <c r="AA1659" s="44"/>
      <c r="AB1659" s="65"/>
      <c r="AC1659" s="40"/>
    </row>
    <row r="1660" spans="1:29" hidden="1">
      <c r="A1660" s="751">
        <v>61125</v>
      </c>
      <c r="B1660" s="752" t="s">
        <v>35</v>
      </c>
      <c r="C1660" s="751" t="s">
        <v>2960</v>
      </c>
      <c r="D1660" s="752" t="s">
        <v>2173</v>
      </c>
      <c r="E1660" s="752" t="s">
        <v>2174</v>
      </c>
      <c r="F1660" s="751">
        <v>27316</v>
      </c>
      <c r="G1660" s="752" t="s">
        <v>91</v>
      </c>
      <c r="H1660" s="752" t="s">
        <v>1245</v>
      </c>
      <c r="I1660" s="752" t="s">
        <v>60</v>
      </c>
      <c r="J1660" s="751">
        <v>22</v>
      </c>
      <c r="K1660" s="751">
        <v>1</v>
      </c>
      <c r="L1660" s="752" t="s">
        <v>36</v>
      </c>
      <c r="M1660" s="752" t="s">
        <v>468</v>
      </c>
      <c r="N1660" s="752" t="s">
        <v>469</v>
      </c>
      <c r="O1660" s="752" t="s">
        <v>469</v>
      </c>
      <c r="P1660" s="752" t="s">
        <v>1238</v>
      </c>
      <c r="Q1660" s="753">
        <v>0</v>
      </c>
      <c r="R1660" s="753">
        <v>0</v>
      </c>
      <c r="S1660" s="753">
        <v>10677</v>
      </c>
      <c r="T1660" s="753">
        <v>10677</v>
      </c>
      <c r="U1660" s="753">
        <v>1199</v>
      </c>
      <c r="V1660" s="751">
        <v>2019</v>
      </c>
      <c r="W1660" s="222"/>
      <c r="X1660" s="186"/>
      <c r="Y1660" s="178" t="str">
        <f t="shared" si="80"/>
        <v/>
      </c>
      <c r="Z1660" s="178" t="str">
        <f t="shared" si="81"/>
        <v/>
      </c>
      <c r="AA1660" s="44"/>
      <c r="AB1660" s="65"/>
      <c r="AC1660" s="40"/>
    </row>
    <row r="1661" spans="1:29" ht="25" hidden="1">
      <c r="A1661" s="751">
        <v>61163</v>
      </c>
      <c r="B1661" s="752" t="s">
        <v>35</v>
      </c>
      <c r="C1661" s="751" t="s">
        <v>2960</v>
      </c>
      <c r="D1661" s="752" t="s">
        <v>2502</v>
      </c>
      <c r="E1661" s="752" t="s">
        <v>2175</v>
      </c>
      <c r="F1661" s="751">
        <v>60792</v>
      </c>
      <c r="G1661" s="752" t="s">
        <v>83</v>
      </c>
      <c r="H1661" s="752" t="s">
        <v>1245</v>
      </c>
      <c r="I1661" s="752" t="s">
        <v>60</v>
      </c>
      <c r="J1661" s="751">
        <v>22</v>
      </c>
      <c r="K1661" s="751">
        <v>2</v>
      </c>
      <c r="L1661" s="752" t="s">
        <v>54</v>
      </c>
      <c r="M1661" s="752" t="s">
        <v>468</v>
      </c>
      <c r="N1661" s="752" t="s">
        <v>469</v>
      </c>
      <c r="O1661" s="752" t="s">
        <v>469</v>
      </c>
      <c r="P1661" s="752" t="s">
        <v>1238</v>
      </c>
      <c r="Q1661" s="753">
        <v>0</v>
      </c>
      <c r="R1661" s="753">
        <v>0</v>
      </c>
      <c r="S1661" s="753">
        <v>15476</v>
      </c>
      <c r="T1661" s="753">
        <v>15476</v>
      </c>
      <c r="U1661" s="753">
        <v>1738</v>
      </c>
      <c r="V1661" s="751">
        <v>2019</v>
      </c>
      <c r="W1661" s="222"/>
      <c r="X1661" s="186"/>
      <c r="Y1661" s="178" t="str">
        <f t="shared" si="80"/>
        <v/>
      </c>
      <c r="Z1661" s="178" t="str">
        <f t="shared" si="81"/>
        <v/>
      </c>
      <c r="AA1661" s="44"/>
      <c r="AB1661" s="65"/>
      <c r="AC1661" s="40"/>
    </row>
    <row r="1662" spans="1:29" ht="25" hidden="1">
      <c r="A1662" s="751">
        <v>61164</v>
      </c>
      <c r="B1662" s="752" t="s">
        <v>35</v>
      </c>
      <c r="C1662" s="751" t="s">
        <v>2960</v>
      </c>
      <c r="D1662" s="752" t="s">
        <v>2503</v>
      </c>
      <c r="E1662" s="752" t="s">
        <v>2175</v>
      </c>
      <c r="F1662" s="751">
        <v>60792</v>
      </c>
      <c r="G1662" s="752" t="s">
        <v>83</v>
      </c>
      <c r="H1662" s="752" t="s">
        <v>1245</v>
      </c>
      <c r="I1662" s="752" t="s">
        <v>60</v>
      </c>
      <c r="J1662" s="751">
        <v>22</v>
      </c>
      <c r="K1662" s="751">
        <v>2</v>
      </c>
      <c r="L1662" s="752" t="s">
        <v>54</v>
      </c>
      <c r="M1662" s="752" t="s">
        <v>468</v>
      </c>
      <c r="N1662" s="752" t="s">
        <v>469</v>
      </c>
      <c r="O1662" s="752" t="s">
        <v>469</v>
      </c>
      <c r="P1662" s="752" t="s">
        <v>1238</v>
      </c>
      <c r="Q1662" s="753">
        <v>0</v>
      </c>
      <c r="R1662" s="753">
        <v>0</v>
      </c>
      <c r="S1662" s="753">
        <v>15688</v>
      </c>
      <c r="T1662" s="753">
        <v>15688</v>
      </c>
      <c r="U1662" s="753">
        <v>1762</v>
      </c>
      <c r="V1662" s="751">
        <v>2019</v>
      </c>
      <c r="W1662" s="222"/>
      <c r="X1662" s="186"/>
      <c r="Y1662" s="178" t="str">
        <f t="shared" si="80"/>
        <v/>
      </c>
      <c r="Z1662" s="178" t="str">
        <f t="shared" si="81"/>
        <v/>
      </c>
      <c r="AA1662" s="44"/>
      <c r="AB1662" s="65"/>
      <c r="AC1662" s="40"/>
    </row>
    <row r="1663" spans="1:29" ht="25" hidden="1">
      <c r="A1663" s="751">
        <v>61186</v>
      </c>
      <c r="B1663" s="752" t="s">
        <v>56</v>
      </c>
      <c r="C1663" s="751" t="s">
        <v>2960</v>
      </c>
      <c r="D1663" s="752" t="s">
        <v>2317</v>
      </c>
      <c r="E1663" s="752" t="s">
        <v>2318</v>
      </c>
      <c r="F1663" s="751">
        <v>60816</v>
      </c>
      <c r="G1663" s="752" t="s">
        <v>83</v>
      </c>
      <c r="H1663" s="752" t="s">
        <v>1245</v>
      </c>
      <c r="I1663" s="752" t="s">
        <v>60</v>
      </c>
      <c r="J1663" s="751">
        <v>622</v>
      </c>
      <c r="K1663" s="751">
        <v>5</v>
      </c>
      <c r="L1663" s="752" t="s">
        <v>423</v>
      </c>
      <c r="M1663" s="752" t="s">
        <v>53</v>
      </c>
      <c r="N1663" s="752" t="s">
        <v>41</v>
      </c>
      <c r="O1663" s="752" t="s">
        <v>41</v>
      </c>
      <c r="P1663" s="752" t="s">
        <v>1091</v>
      </c>
      <c r="Q1663" s="753">
        <v>164226</v>
      </c>
      <c r="R1663" s="753">
        <v>164226</v>
      </c>
      <c r="S1663" s="753">
        <v>169480</v>
      </c>
      <c r="T1663" s="753">
        <v>169480</v>
      </c>
      <c r="U1663" s="753">
        <v>15290</v>
      </c>
      <c r="V1663" s="751">
        <v>2019</v>
      </c>
      <c r="W1663" s="222"/>
      <c r="X1663" s="186"/>
      <c r="Y1663" s="178" t="str">
        <f t="shared" si="80"/>
        <v/>
      </c>
      <c r="Z1663" s="178" t="str">
        <f t="shared" si="81"/>
        <v/>
      </c>
      <c r="AA1663" s="44"/>
      <c r="AB1663" s="65"/>
      <c r="AC1663" s="40"/>
    </row>
    <row r="1664" spans="1:29" hidden="1">
      <c r="A1664" s="751">
        <v>61207</v>
      </c>
      <c r="B1664" s="752" t="s">
        <v>35</v>
      </c>
      <c r="C1664" s="751" t="s">
        <v>2960</v>
      </c>
      <c r="D1664" s="752" t="s">
        <v>2176</v>
      </c>
      <c r="E1664" s="752" t="s">
        <v>1717</v>
      </c>
      <c r="F1664" s="751">
        <v>58756</v>
      </c>
      <c r="G1664" s="752" t="s">
        <v>59</v>
      </c>
      <c r="H1664" s="752" t="s">
        <v>1244</v>
      </c>
      <c r="I1664" s="752" t="s">
        <v>60</v>
      </c>
      <c r="J1664" s="751">
        <v>22</v>
      </c>
      <c r="K1664" s="751">
        <v>2</v>
      </c>
      <c r="L1664" s="752" t="s">
        <v>54</v>
      </c>
      <c r="M1664" s="752" t="s">
        <v>37</v>
      </c>
      <c r="N1664" s="752" t="s">
        <v>38</v>
      </c>
      <c r="O1664" s="752" t="s">
        <v>39</v>
      </c>
      <c r="P1664" s="752" t="s">
        <v>1238</v>
      </c>
      <c r="Q1664" s="753">
        <v>0</v>
      </c>
      <c r="R1664" s="753">
        <v>0</v>
      </c>
      <c r="S1664" s="753">
        <v>357468</v>
      </c>
      <c r="T1664" s="753">
        <v>357468</v>
      </c>
      <c r="U1664" s="753">
        <v>40147</v>
      </c>
      <c r="V1664" s="751">
        <v>2019</v>
      </c>
      <c r="W1664" s="222"/>
      <c r="X1664" s="186"/>
      <c r="Y1664" s="178" t="str">
        <f t="shared" si="80"/>
        <v/>
      </c>
      <c r="Z1664" s="178" t="str">
        <f t="shared" si="81"/>
        <v/>
      </c>
      <c r="AA1664" s="44"/>
      <c r="AB1664" s="65"/>
      <c r="AC1664" s="40"/>
    </row>
    <row r="1665" spans="1:29" hidden="1">
      <c r="A1665" s="751">
        <v>61210</v>
      </c>
      <c r="B1665" s="752" t="s">
        <v>35</v>
      </c>
      <c r="C1665" s="751" t="s">
        <v>2960</v>
      </c>
      <c r="D1665" s="752" t="s">
        <v>2177</v>
      </c>
      <c r="E1665" s="752" t="s">
        <v>2178</v>
      </c>
      <c r="F1665" s="751">
        <v>60833</v>
      </c>
      <c r="G1665" s="752" t="s">
        <v>59</v>
      </c>
      <c r="H1665" s="752" t="s">
        <v>1244</v>
      </c>
      <c r="I1665" s="752" t="s">
        <v>60</v>
      </c>
      <c r="J1665" s="751">
        <v>22</v>
      </c>
      <c r="K1665" s="751">
        <v>2</v>
      </c>
      <c r="L1665" s="752" t="s">
        <v>54</v>
      </c>
      <c r="M1665" s="752" t="s">
        <v>468</v>
      </c>
      <c r="N1665" s="752" t="s">
        <v>469</v>
      </c>
      <c r="O1665" s="752" t="s">
        <v>469</v>
      </c>
      <c r="P1665" s="752" t="s">
        <v>1238</v>
      </c>
      <c r="Q1665" s="753">
        <v>0</v>
      </c>
      <c r="R1665" s="753">
        <v>0</v>
      </c>
      <c r="S1665" s="753">
        <v>28687</v>
      </c>
      <c r="T1665" s="753">
        <v>28687</v>
      </c>
      <c r="U1665" s="753">
        <v>3222</v>
      </c>
      <c r="V1665" s="751">
        <v>2019</v>
      </c>
      <c r="W1665" s="222"/>
      <c r="X1665" s="186"/>
      <c r="Y1665" s="178" t="str">
        <f t="shared" si="80"/>
        <v/>
      </c>
      <c r="Z1665" s="178" t="str">
        <f t="shared" si="81"/>
        <v/>
      </c>
      <c r="AA1665" s="44"/>
      <c r="AB1665" s="65"/>
      <c r="AC1665" s="40"/>
    </row>
    <row r="1666" spans="1:29" hidden="1">
      <c r="A1666" s="751">
        <v>61237</v>
      </c>
      <c r="B1666" s="752" t="s">
        <v>35</v>
      </c>
      <c r="C1666" s="751" t="s">
        <v>2960</v>
      </c>
      <c r="D1666" s="752" t="s">
        <v>2179</v>
      </c>
      <c r="E1666" s="752" t="s">
        <v>2179</v>
      </c>
      <c r="F1666" s="751">
        <v>60858</v>
      </c>
      <c r="G1666" s="752" t="s">
        <v>83</v>
      </c>
      <c r="H1666" s="752" t="s">
        <v>1245</v>
      </c>
      <c r="I1666" s="752" t="s">
        <v>60</v>
      </c>
      <c r="J1666" s="751">
        <v>22</v>
      </c>
      <c r="K1666" s="751">
        <v>2</v>
      </c>
      <c r="L1666" s="752" t="s">
        <v>54</v>
      </c>
      <c r="M1666" s="752" t="s">
        <v>468</v>
      </c>
      <c r="N1666" s="752" t="s">
        <v>469</v>
      </c>
      <c r="O1666" s="752" t="s">
        <v>469</v>
      </c>
      <c r="P1666" s="752" t="s">
        <v>1238</v>
      </c>
      <c r="Q1666" s="753">
        <v>0</v>
      </c>
      <c r="R1666" s="753">
        <v>0</v>
      </c>
      <c r="S1666" s="753">
        <v>32983</v>
      </c>
      <c r="T1666" s="753">
        <v>32983</v>
      </c>
      <c r="U1666" s="753">
        <v>3704</v>
      </c>
      <c r="V1666" s="751">
        <v>2019</v>
      </c>
      <c r="W1666" s="222"/>
      <c r="X1666" s="186"/>
      <c r="Y1666" s="178" t="str">
        <f t="shared" si="80"/>
        <v/>
      </c>
      <c r="Z1666" s="178" t="str">
        <f t="shared" si="81"/>
        <v/>
      </c>
      <c r="AA1666" s="44"/>
      <c r="AB1666" s="65"/>
      <c r="AC1666" s="40"/>
    </row>
    <row r="1667" spans="1:29" ht="25" hidden="1">
      <c r="A1667" s="751">
        <v>61238</v>
      </c>
      <c r="B1667" s="752" t="s">
        <v>56</v>
      </c>
      <c r="C1667" s="751" t="s">
        <v>2960</v>
      </c>
      <c r="D1667" s="752" t="s">
        <v>2180</v>
      </c>
      <c r="E1667" s="752" t="s">
        <v>2181</v>
      </c>
      <c r="F1667" s="751">
        <v>60883</v>
      </c>
      <c r="G1667" s="752" t="s">
        <v>59</v>
      </c>
      <c r="H1667" s="752" t="s">
        <v>1244</v>
      </c>
      <c r="I1667" s="752" t="s">
        <v>60</v>
      </c>
      <c r="J1667" s="751">
        <v>622</v>
      </c>
      <c r="K1667" s="751">
        <v>5</v>
      </c>
      <c r="L1667" s="752" t="s">
        <v>423</v>
      </c>
      <c r="M1667" s="752" t="s">
        <v>52</v>
      </c>
      <c r="N1667" s="752" t="s">
        <v>41</v>
      </c>
      <c r="O1667" s="752" t="s">
        <v>41</v>
      </c>
      <c r="P1667" s="752" t="s">
        <v>1091</v>
      </c>
      <c r="Q1667" s="753">
        <v>574697</v>
      </c>
      <c r="R1667" s="753">
        <v>541436</v>
      </c>
      <c r="S1667" s="753">
        <v>591937</v>
      </c>
      <c r="T1667" s="753">
        <v>557679</v>
      </c>
      <c r="U1667" s="753">
        <v>46582</v>
      </c>
      <c r="V1667" s="751">
        <v>2019</v>
      </c>
      <c r="W1667" s="222"/>
      <c r="X1667" s="186"/>
      <c r="Y1667" s="178">
        <f t="shared" si="80"/>
        <v>4.8874689133802098</v>
      </c>
      <c r="Z1667" s="178" t="str">
        <f t="shared" si="81"/>
        <v/>
      </c>
      <c r="AA1667" s="44"/>
      <c r="AB1667" s="65"/>
      <c r="AC1667" s="40"/>
    </row>
    <row r="1668" spans="1:29" ht="25" hidden="1">
      <c r="A1668" s="751">
        <v>61238</v>
      </c>
      <c r="B1668" s="752" t="s">
        <v>56</v>
      </c>
      <c r="C1668" s="751" t="s">
        <v>2960</v>
      </c>
      <c r="D1668" s="752" t="s">
        <v>2180</v>
      </c>
      <c r="E1668" s="752" t="s">
        <v>2181</v>
      </c>
      <c r="F1668" s="751">
        <v>60883</v>
      </c>
      <c r="G1668" s="752" t="s">
        <v>59</v>
      </c>
      <c r="H1668" s="752" t="s">
        <v>1244</v>
      </c>
      <c r="I1668" s="752" t="s">
        <v>60</v>
      </c>
      <c r="J1668" s="751">
        <v>622</v>
      </c>
      <c r="K1668" s="751">
        <v>5</v>
      </c>
      <c r="L1668" s="752" t="s">
        <v>423</v>
      </c>
      <c r="M1668" s="752" t="s">
        <v>53</v>
      </c>
      <c r="N1668" s="752" t="s">
        <v>48</v>
      </c>
      <c r="O1668" s="752" t="s">
        <v>48</v>
      </c>
      <c r="P1668" s="752" t="s">
        <v>49</v>
      </c>
      <c r="Q1668" s="753">
        <v>402</v>
      </c>
      <c r="R1668" s="753">
        <v>187</v>
      </c>
      <c r="S1668" s="753">
        <v>2215</v>
      </c>
      <c r="T1668" s="753">
        <v>1033</v>
      </c>
      <c r="U1668" s="753">
        <v>87</v>
      </c>
      <c r="V1668" s="751">
        <v>2019</v>
      </c>
      <c r="W1668" s="222"/>
      <c r="X1668" s="186"/>
      <c r="Y1668" s="178" t="str">
        <f t="shared" si="80"/>
        <v/>
      </c>
      <c r="Z1668" s="178" t="str">
        <f t="shared" si="81"/>
        <v/>
      </c>
      <c r="AA1668" s="44"/>
      <c r="AB1668" s="65"/>
      <c r="AC1668" s="40"/>
    </row>
    <row r="1669" spans="1:29" hidden="1">
      <c r="A1669" s="751">
        <v>61243</v>
      </c>
      <c r="B1669" s="752" t="s">
        <v>35</v>
      </c>
      <c r="C1669" s="751" t="s">
        <v>2960</v>
      </c>
      <c r="D1669" s="752" t="s">
        <v>2182</v>
      </c>
      <c r="E1669" s="752" t="s">
        <v>1851</v>
      </c>
      <c r="F1669" s="751">
        <v>59254</v>
      </c>
      <c r="G1669" s="752" t="s">
        <v>83</v>
      </c>
      <c r="H1669" s="752" t="s">
        <v>1245</v>
      </c>
      <c r="I1669" s="752" t="s">
        <v>60</v>
      </c>
      <c r="J1669" s="751">
        <v>22</v>
      </c>
      <c r="K1669" s="751">
        <v>2</v>
      </c>
      <c r="L1669" s="752" t="s">
        <v>54</v>
      </c>
      <c r="M1669" s="752" t="s">
        <v>468</v>
      </c>
      <c r="N1669" s="752" t="s">
        <v>469</v>
      </c>
      <c r="O1669" s="752" t="s">
        <v>469</v>
      </c>
      <c r="P1669" s="752" t="s">
        <v>1238</v>
      </c>
      <c r="Q1669" s="753">
        <v>0</v>
      </c>
      <c r="R1669" s="753">
        <v>0</v>
      </c>
      <c r="S1669" s="753">
        <v>61339</v>
      </c>
      <c r="T1669" s="753">
        <v>61339</v>
      </c>
      <c r="U1669" s="753">
        <v>6889</v>
      </c>
      <c r="V1669" s="751">
        <v>2019</v>
      </c>
      <c r="W1669" s="222"/>
      <c r="X1669" s="186"/>
      <c r="Y1669" s="178" t="str">
        <f t="shared" si="80"/>
        <v/>
      </c>
      <c r="Z1669" s="178" t="str">
        <f t="shared" si="81"/>
        <v/>
      </c>
      <c r="AA1669" s="44"/>
      <c r="AB1669" s="65"/>
      <c r="AC1669" s="40"/>
    </row>
    <row r="1670" spans="1:29" hidden="1">
      <c r="A1670" s="751">
        <v>61244</v>
      </c>
      <c r="B1670" s="752" t="s">
        <v>35</v>
      </c>
      <c r="C1670" s="751" t="s">
        <v>2960</v>
      </c>
      <c r="D1670" s="752" t="s">
        <v>2183</v>
      </c>
      <c r="E1670" s="752" t="s">
        <v>1851</v>
      </c>
      <c r="F1670" s="751">
        <v>59254</v>
      </c>
      <c r="G1670" s="752" t="s">
        <v>83</v>
      </c>
      <c r="H1670" s="752" t="s">
        <v>1245</v>
      </c>
      <c r="I1670" s="752" t="s">
        <v>60</v>
      </c>
      <c r="J1670" s="751">
        <v>22</v>
      </c>
      <c r="K1670" s="751">
        <v>2</v>
      </c>
      <c r="L1670" s="752" t="s">
        <v>54</v>
      </c>
      <c r="M1670" s="752" t="s">
        <v>468</v>
      </c>
      <c r="N1670" s="752" t="s">
        <v>469</v>
      </c>
      <c r="O1670" s="752" t="s">
        <v>469</v>
      </c>
      <c r="P1670" s="752" t="s">
        <v>1238</v>
      </c>
      <c r="Q1670" s="753">
        <v>0</v>
      </c>
      <c r="R1670" s="753">
        <v>0</v>
      </c>
      <c r="S1670" s="753">
        <v>20237</v>
      </c>
      <c r="T1670" s="753">
        <v>20237</v>
      </c>
      <c r="U1670" s="753">
        <v>2273</v>
      </c>
      <c r="V1670" s="751">
        <v>2019</v>
      </c>
      <c r="W1670" s="222"/>
      <c r="X1670" s="186"/>
      <c r="Y1670" s="178" t="str">
        <f t="shared" si="80"/>
        <v/>
      </c>
      <c r="Z1670" s="178" t="str">
        <f t="shared" si="81"/>
        <v/>
      </c>
      <c r="AA1670" s="44"/>
      <c r="AB1670" s="65"/>
      <c r="AC1670" s="40"/>
    </row>
    <row r="1671" spans="1:29" hidden="1">
      <c r="A1671" s="751">
        <v>61245</v>
      </c>
      <c r="B1671" s="752" t="s">
        <v>35</v>
      </c>
      <c r="C1671" s="751" t="s">
        <v>2960</v>
      </c>
      <c r="D1671" s="752" t="s">
        <v>2184</v>
      </c>
      <c r="E1671" s="752" t="s">
        <v>1851</v>
      </c>
      <c r="F1671" s="751">
        <v>59254</v>
      </c>
      <c r="G1671" s="752" t="s">
        <v>83</v>
      </c>
      <c r="H1671" s="752" t="s">
        <v>1245</v>
      </c>
      <c r="I1671" s="752" t="s">
        <v>60</v>
      </c>
      <c r="J1671" s="751">
        <v>22</v>
      </c>
      <c r="K1671" s="751">
        <v>2</v>
      </c>
      <c r="L1671" s="752" t="s">
        <v>54</v>
      </c>
      <c r="M1671" s="752" t="s">
        <v>468</v>
      </c>
      <c r="N1671" s="752" t="s">
        <v>469</v>
      </c>
      <c r="O1671" s="752" t="s">
        <v>469</v>
      </c>
      <c r="P1671" s="752" t="s">
        <v>1238</v>
      </c>
      <c r="Q1671" s="753">
        <v>0</v>
      </c>
      <c r="R1671" s="753">
        <v>0</v>
      </c>
      <c r="S1671" s="753">
        <v>61339</v>
      </c>
      <c r="T1671" s="753">
        <v>61339</v>
      </c>
      <c r="U1671" s="753">
        <v>6889</v>
      </c>
      <c r="V1671" s="751">
        <v>2019</v>
      </c>
      <c r="W1671" s="222"/>
      <c r="X1671" s="186"/>
      <c r="Y1671" s="178" t="str">
        <f t="shared" ref="Y1671:Y1734" si="82">IF(AND($M1671=$Y$2,$N1671=$Y$3,NOT($Q1671=$R1671),NOT($U1671=0)),IF($K1671=5,$S1671/($U1671+(8/5)*$U1671),IF($K1671=7,$S1671/($U1671+(29/25)*$U1671),"")),"")</f>
        <v/>
      </c>
      <c r="Z1671" s="178" t="str">
        <f t="shared" ref="Z1671:Z1734" si="83">IF(AND($M1671=$Y$2,$N1671=$Y$4,NOT($Q1671=$R1671),NOT($U1671=0)),IF($K1671=5,$S1671/($U1671+(8/5)*$U1671),IF($K1671=7,$S1671/($U1671+(29/25)*$U1671),"")),"")</f>
        <v/>
      </c>
      <c r="AA1671" s="44"/>
      <c r="AB1671" s="65"/>
      <c r="AC1671" s="40"/>
    </row>
    <row r="1672" spans="1:29" hidden="1">
      <c r="A1672" s="751">
        <v>61294</v>
      </c>
      <c r="B1672" s="752" t="s">
        <v>35</v>
      </c>
      <c r="C1672" s="751" t="s">
        <v>2960</v>
      </c>
      <c r="D1672" s="752" t="s">
        <v>2319</v>
      </c>
      <c r="E1672" s="752" t="s">
        <v>2320</v>
      </c>
      <c r="F1672" s="751">
        <v>60921</v>
      </c>
      <c r="G1672" s="752" t="s">
        <v>83</v>
      </c>
      <c r="H1672" s="752" t="s">
        <v>1245</v>
      </c>
      <c r="I1672" s="752" t="s">
        <v>60</v>
      </c>
      <c r="J1672" s="751">
        <v>22</v>
      </c>
      <c r="K1672" s="751">
        <v>2</v>
      </c>
      <c r="L1672" s="752" t="s">
        <v>54</v>
      </c>
      <c r="M1672" s="752" t="s">
        <v>468</v>
      </c>
      <c r="N1672" s="752" t="s">
        <v>469</v>
      </c>
      <c r="O1672" s="752" t="s">
        <v>469</v>
      </c>
      <c r="P1672" s="752" t="s">
        <v>1238</v>
      </c>
      <c r="Q1672" s="753">
        <v>0</v>
      </c>
      <c r="R1672" s="753">
        <v>0</v>
      </c>
      <c r="S1672" s="753">
        <v>14709</v>
      </c>
      <c r="T1672" s="753">
        <v>14709</v>
      </c>
      <c r="U1672" s="753">
        <v>1652</v>
      </c>
      <c r="V1672" s="751">
        <v>2019</v>
      </c>
      <c r="W1672" s="222"/>
      <c r="X1672" s="186"/>
      <c r="Y1672" s="178" t="str">
        <f t="shared" si="82"/>
        <v/>
      </c>
      <c r="Z1672" s="178" t="str">
        <f t="shared" si="83"/>
        <v/>
      </c>
      <c r="AA1672" s="44"/>
      <c r="AB1672" s="65"/>
      <c r="AC1672" s="40"/>
    </row>
    <row r="1673" spans="1:29" ht="25" hidden="1">
      <c r="A1673" s="751">
        <v>61295</v>
      </c>
      <c r="B1673" s="752" t="s">
        <v>35</v>
      </c>
      <c r="C1673" s="751" t="s">
        <v>2960</v>
      </c>
      <c r="D1673" s="752" t="s">
        <v>2321</v>
      </c>
      <c r="E1673" s="752" t="s">
        <v>2322</v>
      </c>
      <c r="F1673" s="751">
        <v>60922</v>
      </c>
      <c r="G1673" s="752" t="s">
        <v>83</v>
      </c>
      <c r="H1673" s="752" t="s">
        <v>1245</v>
      </c>
      <c r="I1673" s="752" t="s">
        <v>60</v>
      </c>
      <c r="J1673" s="751">
        <v>22</v>
      </c>
      <c r="K1673" s="751">
        <v>2</v>
      </c>
      <c r="L1673" s="752" t="s">
        <v>54</v>
      </c>
      <c r="M1673" s="752" t="s">
        <v>468</v>
      </c>
      <c r="N1673" s="752" t="s">
        <v>469</v>
      </c>
      <c r="O1673" s="752" t="s">
        <v>469</v>
      </c>
      <c r="P1673" s="752" t="s">
        <v>1238</v>
      </c>
      <c r="Q1673" s="753">
        <v>0</v>
      </c>
      <c r="R1673" s="753">
        <v>0</v>
      </c>
      <c r="S1673" s="753">
        <v>57913</v>
      </c>
      <c r="T1673" s="753">
        <v>57913</v>
      </c>
      <c r="U1673" s="753">
        <v>6504</v>
      </c>
      <c r="V1673" s="751">
        <v>2019</v>
      </c>
      <c r="W1673" s="222"/>
      <c r="X1673" s="186"/>
      <c r="Y1673" s="178" t="str">
        <f t="shared" si="82"/>
        <v/>
      </c>
      <c r="Z1673" s="178" t="str">
        <f t="shared" si="83"/>
        <v/>
      </c>
      <c r="AA1673" s="44"/>
      <c r="AB1673" s="65"/>
      <c r="AC1673" s="40"/>
    </row>
    <row r="1674" spans="1:29" hidden="1">
      <c r="A1674" s="751">
        <v>61296</v>
      </c>
      <c r="B1674" s="752" t="s">
        <v>35</v>
      </c>
      <c r="C1674" s="751" t="s">
        <v>2960</v>
      </c>
      <c r="D1674" s="752" t="s">
        <v>2323</v>
      </c>
      <c r="E1674" s="752" t="s">
        <v>2324</v>
      </c>
      <c r="F1674" s="751">
        <v>60923</v>
      </c>
      <c r="G1674" s="752" t="s">
        <v>83</v>
      </c>
      <c r="H1674" s="752" t="s">
        <v>1245</v>
      </c>
      <c r="I1674" s="752" t="s">
        <v>60</v>
      </c>
      <c r="J1674" s="751">
        <v>22</v>
      </c>
      <c r="K1674" s="751">
        <v>2</v>
      </c>
      <c r="L1674" s="752" t="s">
        <v>54</v>
      </c>
      <c r="M1674" s="752" t="s">
        <v>468</v>
      </c>
      <c r="N1674" s="752" t="s">
        <v>469</v>
      </c>
      <c r="O1674" s="752" t="s">
        <v>469</v>
      </c>
      <c r="P1674" s="752" t="s">
        <v>1238</v>
      </c>
      <c r="Q1674" s="753">
        <v>0</v>
      </c>
      <c r="R1674" s="753">
        <v>0</v>
      </c>
      <c r="S1674" s="753">
        <v>21592</v>
      </c>
      <c r="T1674" s="753">
        <v>21592</v>
      </c>
      <c r="U1674" s="753">
        <v>2425</v>
      </c>
      <c r="V1674" s="751">
        <v>2019</v>
      </c>
      <c r="W1674" s="222"/>
      <c r="X1674" s="186"/>
      <c r="Y1674" s="178" t="str">
        <f t="shared" si="82"/>
        <v/>
      </c>
      <c r="Z1674" s="178" t="str">
        <f t="shared" si="83"/>
        <v/>
      </c>
      <c r="AA1674" s="44"/>
      <c r="AB1674" s="65"/>
      <c r="AC1674" s="40"/>
    </row>
    <row r="1675" spans="1:29" hidden="1">
      <c r="A1675" s="751">
        <v>61297</v>
      </c>
      <c r="B1675" s="752" t="s">
        <v>35</v>
      </c>
      <c r="C1675" s="751" t="s">
        <v>2960</v>
      </c>
      <c r="D1675" s="752" t="s">
        <v>2325</v>
      </c>
      <c r="E1675" s="752" t="s">
        <v>2326</v>
      </c>
      <c r="F1675" s="751">
        <v>60924</v>
      </c>
      <c r="G1675" s="752" t="s">
        <v>83</v>
      </c>
      <c r="H1675" s="752" t="s">
        <v>1245</v>
      </c>
      <c r="I1675" s="752" t="s">
        <v>60</v>
      </c>
      <c r="J1675" s="751">
        <v>22</v>
      </c>
      <c r="K1675" s="751">
        <v>2</v>
      </c>
      <c r="L1675" s="752" t="s">
        <v>54</v>
      </c>
      <c r="M1675" s="752" t="s">
        <v>468</v>
      </c>
      <c r="N1675" s="752" t="s">
        <v>469</v>
      </c>
      <c r="O1675" s="752" t="s">
        <v>469</v>
      </c>
      <c r="P1675" s="752" t="s">
        <v>1238</v>
      </c>
      <c r="Q1675" s="753">
        <v>0</v>
      </c>
      <c r="R1675" s="753">
        <v>0</v>
      </c>
      <c r="S1675" s="753">
        <v>29945</v>
      </c>
      <c r="T1675" s="753">
        <v>29945</v>
      </c>
      <c r="U1675" s="753">
        <v>3363</v>
      </c>
      <c r="V1675" s="751">
        <v>2019</v>
      </c>
      <c r="W1675" s="222"/>
      <c r="X1675" s="186"/>
      <c r="Y1675" s="178" t="str">
        <f t="shared" si="82"/>
        <v/>
      </c>
      <c r="Z1675" s="178" t="str">
        <f t="shared" si="83"/>
        <v/>
      </c>
      <c r="AA1675" s="44"/>
      <c r="AB1675" s="65"/>
      <c r="AC1675" s="40"/>
    </row>
    <row r="1676" spans="1:29" ht="25" hidden="1">
      <c r="A1676" s="751">
        <v>61298</v>
      </c>
      <c r="B1676" s="752" t="s">
        <v>35</v>
      </c>
      <c r="C1676" s="751" t="s">
        <v>2960</v>
      </c>
      <c r="D1676" s="752" t="s">
        <v>2327</v>
      </c>
      <c r="E1676" s="752" t="s">
        <v>2328</v>
      </c>
      <c r="F1676" s="751">
        <v>60925</v>
      </c>
      <c r="G1676" s="752" t="s">
        <v>83</v>
      </c>
      <c r="H1676" s="752" t="s">
        <v>1245</v>
      </c>
      <c r="I1676" s="752" t="s">
        <v>60</v>
      </c>
      <c r="J1676" s="751">
        <v>22</v>
      </c>
      <c r="K1676" s="751">
        <v>2</v>
      </c>
      <c r="L1676" s="752" t="s">
        <v>54</v>
      </c>
      <c r="M1676" s="752" t="s">
        <v>468</v>
      </c>
      <c r="N1676" s="752" t="s">
        <v>469</v>
      </c>
      <c r="O1676" s="752" t="s">
        <v>469</v>
      </c>
      <c r="P1676" s="752" t="s">
        <v>1238</v>
      </c>
      <c r="Q1676" s="753">
        <v>0</v>
      </c>
      <c r="R1676" s="753">
        <v>0</v>
      </c>
      <c r="S1676" s="753">
        <v>12883</v>
      </c>
      <c r="T1676" s="753">
        <v>12883</v>
      </c>
      <c r="U1676" s="753">
        <v>1447</v>
      </c>
      <c r="V1676" s="751">
        <v>2019</v>
      </c>
      <c r="W1676" s="222"/>
      <c r="X1676" s="186"/>
      <c r="Y1676" s="178" t="str">
        <f t="shared" si="82"/>
        <v/>
      </c>
      <c r="Z1676" s="178" t="str">
        <f t="shared" si="83"/>
        <v/>
      </c>
      <c r="AA1676" s="44"/>
      <c r="AB1676" s="65"/>
      <c r="AC1676" s="40"/>
    </row>
    <row r="1677" spans="1:29" ht="25" hidden="1">
      <c r="A1677" s="751">
        <v>61299</v>
      </c>
      <c r="B1677" s="752" t="s">
        <v>35</v>
      </c>
      <c r="C1677" s="751" t="s">
        <v>2960</v>
      </c>
      <c r="D1677" s="752" t="s">
        <v>2329</v>
      </c>
      <c r="E1677" s="752" t="s">
        <v>2330</v>
      </c>
      <c r="F1677" s="751">
        <v>60926</v>
      </c>
      <c r="G1677" s="752" t="s">
        <v>83</v>
      </c>
      <c r="H1677" s="752" t="s">
        <v>1245</v>
      </c>
      <c r="I1677" s="752" t="s">
        <v>60</v>
      </c>
      <c r="J1677" s="751">
        <v>22</v>
      </c>
      <c r="K1677" s="751">
        <v>2</v>
      </c>
      <c r="L1677" s="752" t="s">
        <v>54</v>
      </c>
      <c r="M1677" s="752" t="s">
        <v>468</v>
      </c>
      <c r="N1677" s="752" t="s">
        <v>469</v>
      </c>
      <c r="O1677" s="752" t="s">
        <v>469</v>
      </c>
      <c r="P1677" s="752" t="s">
        <v>1238</v>
      </c>
      <c r="Q1677" s="753">
        <v>0</v>
      </c>
      <c r="R1677" s="753">
        <v>0</v>
      </c>
      <c r="S1677" s="753">
        <v>25592</v>
      </c>
      <c r="T1677" s="753">
        <v>25592</v>
      </c>
      <c r="U1677" s="753">
        <v>2874</v>
      </c>
      <c r="V1677" s="751">
        <v>2019</v>
      </c>
      <c r="W1677" s="222"/>
      <c r="X1677" s="186"/>
      <c r="Y1677" s="178" t="str">
        <f t="shared" si="82"/>
        <v/>
      </c>
      <c r="Z1677" s="178" t="str">
        <f t="shared" si="83"/>
        <v/>
      </c>
      <c r="AA1677" s="44"/>
      <c r="AB1677" s="65"/>
      <c r="AC1677" s="40"/>
    </row>
    <row r="1678" spans="1:29" hidden="1">
      <c r="A1678" s="751">
        <v>61307</v>
      </c>
      <c r="B1678" s="752" t="s">
        <v>35</v>
      </c>
      <c r="C1678" s="751" t="s">
        <v>2960</v>
      </c>
      <c r="D1678" s="752" t="s">
        <v>2331</v>
      </c>
      <c r="E1678" s="752" t="s">
        <v>2332</v>
      </c>
      <c r="F1678" s="751">
        <v>60920</v>
      </c>
      <c r="G1678" s="752" t="s">
        <v>83</v>
      </c>
      <c r="H1678" s="752" t="s">
        <v>1245</v>
      </c>
      <c r="I1678" s="752" t="s">
        <v>60</v>
      </c>
      <c r="J1678" s="751">
        <v>22</v>
      </c>
      <c r="K1678" s="751">
        <v>2</v>
      </c>
      <c r="L1678" s="752" t="s">
        <v>54</v>
      </c>
      <c r="M1678" s="752" t="s">
        <v>468</v>
      </c>
      <c r="N1678" s="752" t="s">
        <v>469</v>
      </c>
      <c r="O1678" s="752" t="s">
        <v>469</v>
      </c>
      <c r="P1678" s="752" t="s">
        <v>1238</v>
      </c>
      <c r="Q1678" s="753">
        <v>0</v>
      </c>
      <c r="R1678" s="753">
        <v>0</v>
      </c>
      <c r="S1678" s="753">
        <v>37842</v>
      </c>
      <c r="T1678" s="753">
        <v>37842</v>
      </c>
      <c r="U1678" s="753">
        <v>4250</v>
      </c>
      <c r="V1678" s="751">
        <v>2019</v>
      </c>
      <c r="W1678" s="222"/>
      <c r="X1678" s="186"/>
      <c r="Y1678" s="178" t="str">
        <f t="shared" si="82"/>
        <v/>
      </c>
      <c r="Z1678" s="178" t="str">
        <f t="shared" si="83"/>
        <v/>
      </c>
      <c r="AA1678" s="44"/>
      <c r="AB1678" s="65"/>
      <c r="AC1678" s="40"/>
    </row>
    <row r="1679" spans="1:29" hidden="1">
      <c r="A1679" s="751">
        <v>61308</v>
      </c>
      <c r="B1679" s="752" t="s">
        <v>35</v>
      </c>
      <c r="C1679" s="751" t="s">
        <v>2960</v>
      </c>
      <c r="D1679" s="752" t="s">
        <v>2333</v>
      </c>
      <c r="E1679" s="752" t="s">
        <v>2334</v>
      </c>
      <c r="F1679" s="751">
        <v>60919</v>
      </c>
      <c r="G1679" s="752" t="s">
        <v>83</v>
      </c>
      <c r="H1679" s="752" t="s">
        <v>1245</v>
      </c>
      <c r="I1679" s="752" t="s">
        <v>60</v>
      </c>
      <c r="J1679" s="751">
        <v>22</v>
      </c>
      <c r="K1679" s="751">
        <v>2</v>
      </c>
      <c r="L1679" s="752" t="s">
        <v>54</v>
      </c>
      <c r="M1679" s="752" t="s">
        <v>468</v>
      </c>
      <c r="N1679" s="752" t="s">
        <v>469</v>
      </c>
      <c r="O1679" s="752" t="s">
        <v>469</v>
      </c>
      <c r="P1679" s="752" t="s">
        <v>1238</v>
      </c>
      <c r="Q1679" s="753">
        <v>0</v>
      </c>
      <c r="R1679" s="753">
        <v>0</v>
      </c>
      <c r="S1679" s="753">
        <v>28565</v>
      </c>
      <c r="T1679" s="753">
        <v>28565</v>
      </c>
      <c r="U1679" s="753">
        <v>3208</v>
      </c>
      <c r="V1679" s="751">
        <v>2019</v>
      </c>
      <c r="W1679" s="222"/>
      <c r="X1679" s="186"/>
      <c r="Y1679" s="178" t="str">
        <f t="shared" si="82"/>
        <v/>
      </c>
      <c r="Z1679" s="178" t="str">
        <f t="shared" si="83"/>
        <v/>
      </c>
      <c r="AA1679" s="44"/>
      <c r="AB1679" s="65"/>
      <c r="AC1679" s="40"/>
    </row>
    <row r="1680" spans="1:29" hidden="1">
      <c r="A1680" s="751">
        <v>61315</v>
      </c>
      <c r="B1680" s="752" t="s">
        <v>35</v>
      </c>
      <c r="C1680" s="751" t="s">
        <v>2960</v>
      </c>
      <c r="D1680" s="752" t="s">
        <v>2335</v>
      </c>
      <c r="E1680" s="752" t="s">
        <v>2336</v>
      </c>
      <c r="F1680" s="751">
        <v>60917</v>
      </c>
      <c r="G1680" s="752" t="s">
        <v>83</v>
      </c>
      <c r="H1680" s="752" t="s">
        <v>1245</v>
      </c>
      <c r="I1680" s="752" t="s">
        <v>60</v>
      </c>
      <c r="J1680" s="751">
        <v>22</v>
      </c>
      <c r="K1680" s="751">
        <v>2</v>
      </c>
      <c r="L1680" s="752" t="s">
        <v>54</v>
      </c>
      <c r="M1680" s="752" t="s">
        <v>468</v>
      </c>
      <c r="N1680" s="752" t="s">
        <v>469</v>
      </c>
      <c r="O1680" s="752" t="s">
        <v>469</v>
      </c>
      <c r="P1680" s="752" t="s">
        <v>1238</v>
      </c>
      <c r="Q1680" s="753">
        <v>0</v>
      </c>
      <c r="R1680" s="753">
        <v>0</v>
      </c>
      <c r="S1680" s="753">
        <v>66200</v>
      </c>
      <c r="T1680" s="753">
        <v>66200</v>
      </c>
      <c r="U1680" s="753">
        <v>7435</v>
      </c>
      <c r="V1680" s="751">
        <v>2019</v>
      </c>
      <c r="W1680" s="222"/>
      <c r="X1680" s="186"/>
      <c r="Y1680" s="178" t="str">
        <f t="shared" si="82"/>
        <v/>
      </c>
      <c r="Z1680" s="178" t="str">
        <f t="shared" si="83"/>
        <v/>
      </c>
      <c r="AA1680" s="44"/>
      <c r="AB1680" s="65"/>
      <c r="AC1680" s="40"/>
    </row>
    <row r="1681" spans="1:29" hidden="1">
      <c r="A1681" s="751">
        <v>61340</v>
      </c>
      <c r="B1681" s="752" t="s">
        <v>35</v>
      </c>
      <c r="C1681" s="751" t="s">
        <v>2960</v>
      </c>
      <c r="D1681" s="752" t="s">
        <v>2337</v>
      </c>
      <c r="E1681" s="752" t="s">
        <v>2286</v>
      </c>
      <c r="F1681" s="751">
        <v>61060</v>
      </c>
      <c r="G1681" s="752" t="s">
        <v>91</v>
      </c>
      <c r="H1681" s="752" t="s">
        <v>1245</v>
      </c>
      <c r="I1681" s="752" t="s">
        <v>60</v>
      </c>
      <c r="J1681" s="751">
        <v>22</v>
      </c>
      <c r="K1681" s="751">
        <v>2</v>
      </c>
      <c r="L1681" s="752" t="s">
        <v>54</v>
      </c>
      <c r="M1681" s="752" t="s">
        <v>468</v>
      </c>
      <c r="N1681" s="752" t="s">
        <v>469</v>
      </c>
      <c r="O1681" s="752" t="s">
        <v>469</v>
      </c>
      <c r="P1681" s="752" t="s">
        <v>1238</v>
      </c>
      <c r="Q1681" s="753">
        <v>0</v>
      </c>
      <c r="R1681" s="753">
        <v>0</v>
      </c>
      <c r="S1681" s="753">
        <v>37301</v>
      </c>
      <c r="T1681" s="753">
        <v>37301</v>
      </c>
      <c r="U1681" s="753">
        <v>4189</v>
      </c>
      <c r="V1681" s="751">
        <v>2019</v>
      </c>
      <c r="W1681" s="222"/>
      <c r="X1681" s="186"/>
      <c r="Y1681" s="178" t="str">
        <f t="shared" si="82"/>
        <v/>
      </c>
      <c r="Z1681" s="178" t="str">
        <f t="shared" si="83"/>
        <v/>
      </c>
      <c r="AA1681" s="44"/>
      <c r="AB1681" s="65"/>
      <c r="AC1681" s="40"/>
    </row>
    <row r="1682" spans="1:29" hidden="1">
      <c r="A1682" s="751">
        <v>61341</v>
      </c>
      <c r="B1682" s="752" t="s">
        <v>35</v>
      </c>
      <c r="C1682" s="751" t="s">
        <v>2960</v>
      </c>
      <c r="D1682" s="752" t="s">
        <v>2185</v>
      </c>
      <c r="E1682" s="752" t="s">
        <v>2495</v>
      </c>
      <c r="F1682" s="751">
        <v>61944</v>
      </c>
      <c r="G1682" s="752" t="s">
        <v>83</v>
      </c>
      <c r="H1682" s="752" t="s">
        <v>1245</v>
      </c>
      <c r="I1682" s="752" t="s">
        <v>60</v>
      </c>
      <c r="J1682" s="751">
        <v>22</v>
      </c>
      <c r="K1682" s="751">
        <v>2</v>
      </c>
      <c r="L1682" s="752" t="s">
        <v>54</v>
      </c>
      <c r="M1682" s="752" t="s">
        <v>468</v>
      </c>
      <c r="N1682" s="752" t="s">
        <v>469</v>
      </c>
      <c r="O1682" s="752" t="s">
        <v>469</v>
      </c>
      <c r="P1682" s="752" t="s">
        <v>1238</v>
      </c>
      <c r="Q1682" s="753">
        <v>0</v>
      </c>
      <c r="R1682" s="753">
        <v>0</v>
      </c>
      <c r="S1682" s="753">
        <v>40931</v>
      </c>
      <c r="T1682" s="753">
        <v>40931</v>
      </c>
      <c r="U1682" s="753">
        <v>4597</v>
      </c>
      <c r="V1682" s="751">
        <v>2019</v>
      </c>
      <c r="W1682" s="222"/>
      <c r="X1682" s="186"/>
      <c r="Y1682" s="178" t="str">
        <f t="shared" si="82"/>
        <v/>
      </c>
      <c r="Z1682" s="178" t="str">
        <f t="shared" si="83"/>
        <v/>
      </c>
      <c r="AA1682" s="44"/>
      <c r="AB1682" s="65"/>
      <c r="AC1682" s="40"/>
    </row>
    <row r="1683" spans="1:29" hidden="1">
      <c r="A1683" s="751">
        <v>61342</v>
      </c>
      <c r="B1683" s="752" t="s">
        <v>35</v>
      </c>
      <c r="C1683" s="751" t="s">
        <v>2960</v>
      </c>
      <c r="D1683" s="752" t="s">
        <v>2186</v>
      </c>
      <c r="E1683" s="752" t="s">
        <v>2495</v>
      </c>
      <c r="F1683" s="751">
        <v>61944</v>
      </c>
      <c r="G1683" s="752" t="s">
        <v>83</v>
      </c>
      <c r="H1683" s="752" t="s">
        <v>1245</v>
      </c>
      <c r="I1683" s="752" t="s">
        <v>60</v>
      </c>
      <c r="J1683" s="751">
        <v>22</v>
      </c>
      <c r="K1683" s="751">
        <v>2</v>
      </c>
      <c r="L1683" s="752" t="s">
        <v>54</v>
      </c>
      <c r="M1683" s="752" t="s">
        <v>468</v>
      </c>
      <c r="N1683" s="752" t="s">
        <v>469</v>
      </c>
      <c r="O1683" s="752" t="s">
        <v>469</v>
      </c>
      <c r="P1683" s="752" t="s">
        <v>1238</v>
      </c>
      <c r="Q1683" s="753">
        <v>0</v>
      </c>
      <c r="R1683" s="753">
        <v>0</v>
      </c>
      <c r="S1683" s="753">
        <v>175811</v>
      </c>
      <c r="T1683" s="753">
        <v>175811</v>
      </c>
      <c r="U1683" s="753">
        <v>19745</v>
      </c>
      <c r="V1683" s="751">
        <v>2019</v>
      </c>
      <c r="W1683" s="222"/>
      <c r="X1683" s="186"/>
      <c r="Y1683" s="178" t="str">
        <f t="shared" si="82"/>
        <v/>
      </c>
      <c r="Z1683" s="178" t="str">
        <f t="shared" si="83"/>
        <v/>
      </c>
      <c r="AA1683" s="44"/>
      <c r="AB1683" s="65"/>
      <c r="AC1683" s="40"/>
    </row>
    <row r="1684" spans="1:29" hidden="1">
      <c r="A1684" s="751">
        <v>61350</v>
      </c>
      <c r="B1684" s="752" t="s">
        <v>35</v>
      </c>
      <c r="C1684" s="751" t="s">
        <v>2960</v>
      </c>
      <c r="D1684" s="752" t="s">
        <v>2187</v>
      </c>
      <c r="E1684" s="752" t="s">
        <v>2977</v>
      </c>
      <c r="F1684" s="751">
        <v>63249</v>
      </c>
      <c r="G1684" s="752" t="s">
        <v>83</v>
      </c>
      <c r="H1684" s="752" t="s">
        <v>1245</v>
      </c>
      <c r="I1684" s="752" t="s">
        <v>60</v>
      </c>
      <c r="J1684" s="751">
        <v>22</v>
      </c>
      <c r="K1684" s="751">
        <v>2</v>
      </c>
      <c r="L1684" s="752" t="s">
        <v>54</v>
      </c>
      <c r="M1684" s="752" t="s">
        <v>468</v>
      </c>
      <c r="N1684" s="752" t="s">
        <v>469</v>
      </c>
      <c r="O1684" s="752" t="s">
        <v>469</v>
      </c>
      <c r="P1684" s="752" t="s">
        <v>1238</v>
      </c>
      <c r="Q1684" s="753">
        <v>0</v>
      </c>
      <c r="R1684" s="753">
        <v>0</v>
      </c>
      <c r="S1684" s="753">
        <v>30159</v>
      </c>
      <c r="T1684" s="753">
        <v>30159</v>
      </c>
      <c r="U1684" s="753">
        <v>3387</v>
      </c>
      <c r="V1684" s="751">
        <v>2019</v>
      </c>
      <c r="W1684" s="222"/>
      <c r="X1684" s="186"/>
      <c r="Y1684" s="178" t="str">
        <f t="shared" si="82"/>
        <v/>
      </c>
      <c r="Z1684" s="178" t="str">
        <f t="shared" si="83"/>
        <v/>
      </c>
      <c r="AA1684" s="44"/>
      <c r="AB1684" s="65"/>
      <c r="AC1684" s="40"/>
    </row>
    <row r="1685" spans="1:29" ht="25" hidden="1">
      <c r="A1685" s="751">
        <v>61367</v>
      </c>
      <c r="B1685" s="752" t="s">
        <v>35</v>
      </c>
      <c r="C1685" s="751" t="s">
        <v>2960</v>
      </c>
      <c r="D1685" s="752" t="s">
        <v>2338</v>
      </c>
      <c r="E1685" s="752" t="s">
        <v>1280</v>
      </c>
      <c r="F1685" s="751">
        <v>57319</v>
      </c>
      <c r="G1685" s="752" t="s">
        <v>83</v>
      </c>
      <c r="H1685" s="752" t="s">
        <v>1245</v>
      </c>
      <c r="I1685" s="752" t="s">
        <v>60</v>
      </c>
      <c r="J1685" s="751">
        <v>22</v>
      </c>
      <c r="K1685" s="751">
        <v>2</v>
      </c>
      <c r="L1685" s="752" t="s">
        <v>54</v>
      </c>
      <c r="M1685" s="752" t="s">
        <v>468</v>
      </c>
      <c r="N1685" s="752" t="s">
        <v>469</v>
      </c>
      <c r="O1685" s="752" t="s">
        <v>469</v>
      </c>
      <c r="P1685" s="752" t="s">
        <v>1238</v>
      </c>
      <c r="Q1685" s="753">
        <v>0</v>
      </c>
      <c r="R1685" s="753">
        <v>0</v>
      </c>
      <c r="S1685" s="753">
        <v>23623</v>
      </c>
      <c r="T1685" s="753">
        <v>23623</v>
      </c>
      <c r="U1685" s="753">
        <v>2653</v>
      </c>
      <c r="V1685" s="751">
        <v>2019</v>
      </c>
      <c r="W1685" s="222"/>
      <c r="X1685" s="186"/>
      <c r="Y1685" s="178" t="str">
        <f t="shared" si="82"/>
        <v/>
      </c>
      <c r="Z1685" s="178" t="str">
        <f t="shared" si="83"/>
        <v/>
      </c>
      <c r="AA1685" s="44"/>
      <c r="AB1685" s="65"/>
      <c r="AC1685" s="40"/>
    </row>
    <row r="1686" spans="1:29" hidden="1">
      <c r="A1686" s="751">
        <v>61371</v>
      </c>
      <c r="B1686" s="752" t="s">
        <v>35</v>
      </c>
      <c r="C1686" s="751" t="s">
        <v>2960</v>
      </c>
      <c r="D1686" s="752" t="s">
        <v>2188</v>
      </c>
      <c r="E1686" s="752" t="s">
        <v>2189</v>
      </c>
      <c r="F1686" s="751">
        <v>61009</v>
      </c>
      <c r="G1686" s="752" t="s">
        <v>83</v>
      </c>
      <c r="H1686" s="752" t="s">
        <v>1245</v>
      </c>
      <c r="I1686" s="752" t="s">
        <v>60</v>
      </c>
      <c r="J1686" s="751">
        <v>22</v>
      </c>
      <c r="K1686" s="751">
        <v>2</v>
      </c>
      <c r="L1686" s="752" t="s">
        <v>54</v>
      </c>
      <c r="M1686" s="752" t="s">
        <v>468</v>
      </c>
      <c r="N1686" s="752" t="s">
        <v>469</v>
      </c>
      <c r="O1686" s="752" t="s">
        <v>469</v>
      </c>
      <c r="P1686" s="752" t="s">
        <v>1238</v>
      </c>
      <c r="Q1686" s="753">
        <v>0</v>
      </c>
      <c r="R1686" s="753">
        <v>0</v>
      </c>
      <c r="S1686" s="753">
        <v>30489</v>
      </c>
      <c r="T1686" s="753">
        <v>30489</v>
      </c>
      <c r="U1686" s="753">
        <v>3424</v>
      </c>
      <c r="V1686" s="751">
        <v>2019</v>
      </c>
      <c r="W1686" s="222"/>
      <c r="X1686" s="186"/>
      <c r="Y1686" s="178" t="str">
        <f t="shared" si="82"/>
        <v/>
      </c>
      <c r="Z1686" s="178" t="str">
        <f t="shared" si="83"/>
        <v/>
      </c>
      <c r="AA1686" s="44"/>
      <c r="AB1686" s="65"/>
      <c r="AC1686" s="40"/>
    </row>
    <row r="1687" spans="1:29" hidden="1">
      <c r="A1687" s="751">
        <v>61373</v>
      </c>
      <c r="B1687" s="752" t="s">
        <v>35</v>
      </c>
      <c r="C1687" s="751" t="s">
        <v>2960</v>
      </c>
      <c r="D1687" s="752" t="s">
        <v>2190</v>
      </c>
      <c r="E1687" s="752" t="s">
        <v>2191</v>
      </c>
      <c r="F1687" s="751">
        <v>61011</v>
      </c>
      <c r="G1687" s="752" t="s">
        <v>83</v>
      </c>
      <c r="H1687" s="752" t="s">
        <v>1245</v>
      </c>
      <c r="I1687" s="752" t="s">
        <v>60</v>
      </c>
      <c r="J1687" s="751">
        <v>22</v>
      </c>
      <c r="K1687" s="751">
        <v>2</v>
      </c>
      <c r="L1687" s="752" t="s">
        <v>54</v>
      </c>
      <c r="M1687" s="752" t="s">
        <v>468</v>
      </c>
      <c r="N1687" s="752" t="s">
        <v>469</v>
      </c>
      <c r="O1687" s="752" t="s">
        <v>469</v>
      </c>
      <c r="P1687" s="752" t="s">
        <v>1238</v>
      </c>
      <c r="Q1687" s="753">
        <v>0</v>
      </c>
      <c r="R1687" s="753">
        <v>0</v>
      </c>
      <c r="S1687" s="753">
        <v>45107</v>
      </c>
      <c r="T1687" s="753">
        <v>45107</v>
      </c>
      <c r="U1687" s="753">
        <v>5066</v>
      </c>
      <c r="V1687" s="751">
        <v>2019</v>
      </c>
      <c r="W1687" s="222"/>
      <c r="X1687" s="186"/>
      <c r="Y1687" s="178" t="str">
        <f t="shared" si="82"/>
        <v/>
      </c>
      <c r="Z1687" s="178" t="str">
        <f t="shared" si="83"/>
        <v/>
      </c>
      <c r="AA1687" s="44"/>
      <c r="AB1687" s="65"/>
      <c r="AC1687" s="40"/>
    </row>
    <row r="1688" spans="1:29" hidden="1">
      <c r="A1688" s="751">
        <v>61376</v>
      </c>
      <c r="B1688" s="752" t="s">
        <v>35</v>
      </c>
      <c r="C1688" s="751" t="s">
        <v>2960</v>
      </c>
      <c r="D1688" s="752" t="s">
        <v>2339</v>
      </c>
      <c r="E1688" s="752" t="s">
        <v>2340</v>
      </c>
      <c r="F1688" s="751">
        <v>61012</v>
      </c>
      <c r="G1688" s="752" t="s">
        <v>59</v>
      </c>
      <c r="H1688" s="752" t="s">
        <v>1244</v>
      </c>
      <c r="I1688" s="752" t="s">
        <v>60</v>
      </c>
      <c r="J1688" s="751">
        <v>22</v>
      </c>
      <c r="K1688" s="751">
        <v>2</v>
      </c>
      <c r="L1688" s="752" t="s">
        <v>54</v>
      </c>
      <c r="M1688" s="752" t="s">
        <v>468</v>
      </c>
      <c r="N1688" s="752" t="s">
        <v>469</v>
      </c>
      <c r="O1688" s="752" t="s">
        <v>469</v>
      </c>
      <c r="P1688" s="752" t="s">
        <v>1238</v>
      </c>
      <c r="Q1688" s="753">
        <v>0</v>
      </c>
      <c r="R1688" s="753">
        <v>0</v>
      </c>
      <c r="S1688" s="753">
        <v>27077</v>
      </c>
      <c r="T1688" s="753">
        <v>27077</v>
      </c>
      <c r="U1688" s="753">
        <v>3041</v>
      </c>
      <c r="V1688" s="751">
        <v>2019</v>
      </c>
      <c r="W1688" s="222"/>
      <c r="X1688" s="186"/>
      <c r="Y1688" s="178" t="str">
        <f t="shared" si="82"/>
        <v/>
      </c>
      <c r="Z1688" s="178" t="str">
        <f t="shared" si="83"/>
        <v/>
      </c>
      <c r="AA1688" s="44"/>
      <c r="AB1688" s="65"/>
      <c r="AC1688" s="40"/>
    </row>
    <row r="1689" spans="1:29" ht="25" hidden="1">
      <c r="A1689" s="751">
        <v>61378</v>
      </c>
      <c r="B1689" s="752" t="s">
        <v>35</v>
      </c>
      <c r="C1689" s="751" t="s">
        <v>2960</v>
      </c>
      <c r="D1689" s="752" t="s">
        <v>2341</v>
      </c>
      <c r="E1689" s="752" t="s">
        <v>2341</v>
      </c>
      <c r="F1689" s="751">
        <v>61013</v>
      </c>
      <c r="G1689" s="752" t="s">
        <v>59</v>
      </c>
      <c r="H1689" s="752" t="s">
        <v>1244</v>
      </c>
      <c r="I1689" s="752" t="s">
        <v>60</v>
      </c>
      <c r="J1689" s="751">
        <v>622</v>
      </c>
      <c r="K1689" s="751">
        <v>4</v>
      </c>
      <c r="L1689" s="752" t="s">
        <v>422</v>
      </c>
      <c r="M1689" s="752" t="s">
        <v>53</v>
      </c>
      <c r="N1689" s="752" t="s">
        <v>48</v>
      </c>
      <c r="O1689" s="752" t="s">
        <v>48</v>
      </c>
      <c r="P1689" s="752" t="s">
        <v>49</v>
      </c>
      <c r="Q1689" s="753">
        <v>32</v>
      </c>
      <c r="R1689" s="753">
        <v>32</v>
      </c>
      <c r="S1689" s="753">
        <v>185</v>
      </c>
      <c r="T1689" s="753">
        <v>185</v>
      </c>
      <c r="U1689" s="753">
        <v>0</v>
      </c>
      <c r="V1689" s="751">
        <v>2019</v>
      </c>
      <c r="W1689" s="222"/>
      <c r="X1689" s="186"/>
      <c r="Y1689" s="178" t="str">
        <f t="shared" si="82"/>
        <v/>
      </c>
      <c r="Z1689" s="178" t="str">
        <f t="shared" si="83"/>
        <v/>
      </c>
      <c r="AA1689" s="44"/>
      <c r="AB1689" s="65"/>
      <c r="AC1689" s="40"/>
    </row>
    <row r="1690" spans="1:29" ht="25" hidden="1">
      <c r="A1690" s="751">
        <v>61378</v>
      </c>
      <c r="B1690" s="752" t="s">
        <v>35</v>
      </c>
      <c r="C1690" s="751" t="s">
        <v>2960</v>
      </c>
      <c r="D1690" s="752" t="s">
        <v>2341</v>
      </c>
      <c r="E1690" s="752" t="s">
        <v>2341</v>
      </c>
      <c r="F1690" s="751">
        <v>61013</v>
      </c>
      <c r="G1690" s="752" t="s">
        <v>59</v>
      </c>
      <c r="H1690" s="752" t="s">
        <v>1244</v>
      </c>
      <c r="I1690" s="752" t="s">
        <v>60</v>
      </c>
      <c r="J1690" s="751">
        <v>622</v>
      </c>
      <c r="K1690" s="751">
        <v>4</v>
      </c>
      <c r="L1690" s="752" t="s">
        <v>422</v>
      </c>
      <c r="M1690" s="752" t="s">
        <v>53</v>
      </c>
      <c r="N1690" s="752" t="s">
        <v>41</v>
      </c>
      <c r="O1690" s="752" t="s">
        <v>41</v>
      </c>
      <c r="P1690" s="752" t="s">
        <v>1091</v>
      </c>
      <c r="Q1690" s="753">
        <v>1</v>
      </c>
      <c r="R1690" s="753">
        <v>1</v>
      </c>
      <c r="S1690" s="753">
        <v>1</v>
      </c>
      <c r="T1690" s="753">
        <v>1</v>
      </c>
      <c r="U1690" s="753">
        <v>0</v>
      </c>
      <c r="V1690" s="751">
        <v>2019</v>
      </c>
      <c r="W1690" s="222"/>
      <c r="X1690" s="186"/>
      <c r="Y1690" s="178" t="str">
        <f t="shared" si="82"/>
        <v/>
      </c>
      <c r="Z1690" s="178" t="str">
        <f t="shared" si="83"/>
        <v/>
      </c>
      <c r="AA1690" s="44"/>
      <c r="AB1690" s="65"/>
      <c r="AC1690" s="40"/>
    </row>
    <row r="1691" spans="1:29" hidden="1">
      <c r="A1691" s="751">
        <v>61389</v>
      </c>
      <c r="B1691" s="752" t="s">
        <v>35</v>
      </c>
      <c r="C1691" s="751" t="s">
        <v>2960</v>
      </c>
      <c r="D1691" s="752" t="s">
        <v>2342</v>
      </c>
      <c r="E1691" s="752" t="s">
        <v>2154</v>
      </c>
      <c r="F1691" s="751">
        <v>60571</v>
      </c>
      <c r="G1691" s="752" t="s">
        <v>59</v>
      </c>
      <c r="H1691" s="752" t="s">
        <v>1244</v>
      </c>
      <c r="I1691" s="752" t="s">
        <v>60</v>
      </c>
      <c r="J1691" s="751">
        <v>22</v>
      </c>
      <c r="K1691" s="751">
        <v>2</v>
      </c>
      <c r="L1691" s="752" t="s">
        <v>54</v>
      </c>
      <c r="M1691" s="752" t="s">
        <v>468</v>
      </c>
      <c r="N1691" s="752" t="s">
        <v>469</v>
      </c>
      <c r="O1691" s="752" t="s">
        <v>469</v>
      </c>
      <c r="P1691" s="752" t="s">
        <v>1238</v>
      </c>
      <c r="Q1691" s="753">
        <v>0</v>
      </c>
      <c r="R1691" s="753">
        <v>0</v>
      </c>
      <c r="S1691" s="753">
        <v>16447</v>
      </c>
      <c r="T1691" s="753">
        <v>16447</v>
      </c>
      <c r="U1691" s="753">
        <v>1847</v>
      </c>
      <c r="V1691" s="751">
        <v>2019</v>
      </c>
      <c r="W1691" s="222"/>
      <c r="X1691" s="186">
        <f>IF(OR(K1691&gt;3,T1691=0,NOT(U1691&gt;0)),"",T1691/U1691)</f>
        <v>8.904710341093665</v>
      </c>
      <c r="Y1691" s="178" t="str">
        <f t="shared" si="82"/>
        <v/>
      </c>
      <c r="Z1691" s="178" t="str">
        <f t="shared" si="83"/>
        <v/>
      </c>
      <c r="AA1691" s="44"/>
      <c r="AB1691" s="65"/>
      <c r="AC1691" s="40"/>
    </row>
    <row r="1692" spans="1:29" hidden="1">
      <c r="A1692" s="751">
        <v>61398</v>
      </c>
      <c r="B1692" s="752" t="s">
        <v>35</v>
      </c>
      <c r="C1692" s="751" t="s">
        <v>2960</v>
      </c>
      <c r="D1692" s="752" t="s">
        <v>2192</v>
      </c>
      <c r="E1692" s="752" t="s">
        <v>2193</v>
      </c>
      <c r="F1692" s="751">
        <v>61025</v>
      </c>
      <c r="G1692" s="752" t="s">
        <v>43</v>
      </c>
      <c r="H1692" s="752" t="s">
        <v>1245</v>
      </c>
      <c r="I1692" s="752" t="s">
        <v>60</v>
      </c>
      <c r="J1692" s="751">
        <v>22</v>
      </c>
      <c r="K1692" s="751">
        <v>2</v>
      </c>
      <c r="L1692" s="752" t="s">
        <v>54</v>
      </c>
      <c r="M1692" s="752" t="s">
        <v>468</v>
      </c>
      <c r="N1692" s="752" t="s">
        <v>469</v>
      </c>
      <c r="O1692" s="752" t="s">
        <v>469</v>
      </c>
      <c r="P1692" s="752" t="s">
        <v>1238</v>
      </c>
      <c r="Q1692" s="753">
        <v>0</v>
      </c>
      <c r="R1692" s="753">
        <v>0</v>
      </c>
      <c r="S1692" s="753">
        <v>31832</v>
      </c>
      <c r="T1692" s="753">
        <v>31832</v>
      </c>
      <c r="U1692" s="753">
        <v>3575</v>
      </c>
      <c r="V1692" s="751">
        <v>2019</v>
      </c>
      <c r="W1692" s="222"/>
      <c r="X1692" s="186">
        <f>IF(OR(K1692&gt;3,T1692=0,NOT(U1692&gt;0)),"",T1692/U1692)</f>
        <v>8.9040559440559441</v>
      </c>
      <c r="Y1692" s="178" t="str">
        <f t="shared" si="82"/>
        <v/>
      </c>
      <c r="Z1692" s="178" t="str">
        <f t="shared" si="83"/>
        <v/>
      </c>
      <c r="AA1692" s="44"/>
      <c r="AB1692" s="65"/>
      <c r="AC1692" s="40"/>
    </row>
    <row r="1693" spans="1:29" hidden="1">
      <c r="A1693" s="751">
        <v>61399</v>
      </c>
      <c r="B1693" s="752" t="s">
        <v>35</v>
      </c>
      <c r="C1693" s="751" t="s">
        <v>2960</v>
      </c>
      <c r="D1693" s="752" t="s">
        <v>2343</v>
      </c>
      <c r="E1693" s="752" t="s">
        <v>2344</v>
      </c>
      <c r="F1693" s="751">
        <v>61028</v>
      </c>
      <c r="G1693" s="752" t="s">
        <v>83</v>
      </c>
      <c r="H1693" s="752" t="s">
        <v>1245</v>
      </c>
      <c r="I1693" s="752" t="s">
        <v>60</v>
      </c>
      <c r="J1693" s="751">
        <v>22</v>
      </c>
      <c r="K1693" s="751">
        <v>2</v>
      </c>
      <c r="L1693" s="752" t="s">
        <v>54</v>
      </c>
      <c r="M1693" s="752" t="s">
        <v>468</v>
      </c>
      <c r="N1693" s="752" t="s">
        <v>469</v>
      </c>
      <c r="O1693" s="752" t="s">
        <v>469</v>
      </c>
      <c r="P1693" s="752" t="s">
        <v>1238</v>
      </c>
      <c r="Q1693" s="753">
        <v>0</v>
      </c>
      <c r="R1693" s="753">
        <v>0</v>
      </c>
      <c r="S1693" s="753">
        <v>28742</v>
      </c>
      <c r="T1693" s="753">
        <v>28742</v>
      </c>
      <c r="U1693" s="753">
        <v>3228</v>
      </c>
      <c r="V1693" s="751">
        <v>2019</v>
      </c>
      <c r="W1693" s="222"/>
      <c r="X1693" s="186"/>
      <c r="Y1693" s="178" t="str">
        <f t="shared" si="82"/>
        <v/>
      </c>
      <c r="Z1693" s="178" t="str">
        <f t="shared" si="83"/>
        <v/>
      </c>
      <c r="AA1693" s="44"/>
      <c r="AB1693" s="65"/>
      <c r="AC1693" s="40"/>
    </row>
    <row r="1694" spans="1:29" hidden="1">
      <c r="A1694" s="751">
        <v>61408</v>
      </c>
      <c r="B1694" s="752" t="s">
        <v>35</v>
      </c>
      <c r="C1694" s="751" t="s">
        <v>2960</v>
      </c>
      <c r="D1694" s="752" t="s">
        <v>2194</v>
      </c>
      <c r="E1694" s="752" t="s">
        <v>2195</v>
      </c>
      <c r="F1694" s="751">
        <v>61043</v>
      </c>
      <c r="G1694" s="752" t="s">
        <v>43</v>
      </c>
      <c r="H1694" s="752" t="s">
        <v>1245</v>
      </c>
      <c r="I1694" s="752" t="s">
        <v>60</v>
      </c>
      <c r="J1694" s="751">
        <v>22</v>
      </c>
      <c r="K1694" s="751">
        <v>2</v>
      </c>
      <c r="L1694" s="752" t="s">
        <v>54</v>
      </c>
      <c r="M1694" s="752" t="s">
        <v>468</v>
      </c>
      <c r="N1694" s="752" t="s">
        <v>469</v>
      </c>
      <c r="O1694" s="752" t="s">
        <v>469</v>
      </c>
      <c r="P1694" s="752" t="s">
        <v>1238</v>
      </c>
      <c r="Q1694" s="753">
        <v>0</v>
      </c>
      <c r="R1694" s="753">
        <v>0</v>
      </c>
      <c r="S1694" s="753">
        <v>15368</v>
      </c>
      <c r="T1694" s="753">
        <v>15368</v>
      </c>
      <c r="U1694" s="753">
        <v>1726</v>
      </c>
      <c r="V1694" s="751">
        <v>2019</v>
      </c>
      <c r="W1694" s="222"/>
      <c r="X1694" s="186"/>
      <c r="Y1694" s="178" t="str">
        <f t="shared" si="82"/>
        <v/>
      </c>
      <c r="Z1694" s="178" t="str">
        <f t="shared" si="83"/>
        <v/>
      </c>
      <c r="AA1694" s="44"/>
      <c r="AB1694" s="65"/>
      <c r="AC1694" s="40"/>
    </row>
    <row r="1695" spans="1:29" ht="25" hidden="1">
      <c r="A1695" s="751">
        <v>61413</v>
      </c>
      <c r="B1695" s="752" t="s">
        <v>35</v>
      </c>
      <c r="C1695" s="751" t="s">
        <v>2960</v>
      </c>
      <c r="D1695" s="752" t="s">
        <v>2196</v>
      </c>
      <c r="E1695" s="752" t="s">
        <v>2197</v>
      </c>
      <c r="F1695" s="751">
        <v>61049</v>
      </c>
      <c r="G1695" s="752" t="s">
        <v>59</v>
      </c>
      <c r="H1695" s="752" t="s">
        <v>1244</v>
      </c>
      <c r="I1695" s="752" t="s">
        <v>60</v>
      </c>
      <c r="J1695" s="751">
        <v>622</v>
      </c>
      <c r="K1695" s="751">
        <v>4</v>
      </c>
      <c r="L1695" s="752" t="s">
        <v>422</v>
      </c>
      <c r="M1695" s="752" t="s">
        <v>53</v>
      </c>
      <c r="N1695" s="752" t="s">
        <v>48</v>
      </c>
      <c r="O1695" s="752" t="s">
        <v>48</v>
      </c>
      <c r="P1695" s="752" t="s">
        <v>49</v>
      </c>
      <c r="Q1695" s="753">
        <v>499</v>
      </c>
      <c r="R1695" s="753">
        <v>499</v>
      </c>
      <c r="S1695" s="753">
        <v>2750</v>
      </c>
      <c r="T1695" s="753">
        <v>2750</v>
      </c>
      <c r="U1695" s="753">
        <v>280</v>
      </c>
      <c r="V1695" s="751">
        <v>2019</v>
      </c>
      <c r="W1695" s="222"/>
      <c r="X1695" s="186"/>
      <c r="Y1695" s="178" t="str">
        <f t="shared" si="82"/>
        <v/>
      </c>
      <c r="Z1695" s="178" t="str">
        <f t="shared" si="83"/>
        <v/>
      </c>
      <c r="AA1695" s="44"/>
      <c r="AB1695" s="65"/>
      <c r="AC1695" s="40"/>
    </row>
    <row r="1696" spans="1:29" ht="25" hidden="1">
      <c r="A1696" s="751">
        <v>61414</v>
      </c>
      <c r="B1696" s="752" t="s">
        <v>35</v>
      </c>
      <c r="C1696" s="751" t="s">
        <v>2960</v>
      </c>
      <c r="D1696" s="752" t="s">
        <v>2198</v>
      </c>
      <c r="E1696" s="752" t="s">
        <v>2199</v>
      </c>
      <c r="F1696" s="751">
        <v>61050</v>
      </c>
      <c r="G1696" s="752" t="s">
        <v>59</v>
      </c>
      <c r="H1696" s="752" t="s">
        <v>1244</v>
      </c>
      <c r="I1696" s="752" t="s">
        <v>60</v>
      </c>
      <c r="J1696" s="751">
        <v>323</v>
      </c>
      <c r="K1696" s="751">
        <v>6</v>
      </c>
      <c r="L1696" s="752" t="s">
        <v>420</v>
      </c>
      <c r="M1696" s="752" t="s">
        <v>53</v>
      </c>
      <c r="N1696" s="752" t="s">
        <v>48</v>
      </c>
      <c r="O1696" s="752" t="s">
        <v>48</v>
      </c>
      <c r="P1696" s="752" t="s">
        <v>49</v>
      </c>
      <c r="Q1696" s="753">
        <v>126</v>
      </c>
      <c r="R1696" s="753">
        <v>126</v>
      </c>
      <c r="S1696" s="753">
        <v>695</v>
      </c>
      <c r="T1696" s="753">
        <v>695</v>
      </c>
      <c r="U1696" s="753">
        <v>63</v>
      </c>
      <c r="V1696" s="751">
        <v>2019</v>
      </c>
      <c r="W1696" s="222"/>
      <c r="X1696" s="186"/>
      <c r="Y1696" s="178" t="str">
        <f t="shared" si="82"/>
        <v/>
      </c>
      <c r="Z1696" s="178" t="str">
        <f t="shared" si="83"/>
        <v/>
      </c>
      <c r="AA1696" s="44"/>
      <c r="AB1696" s="65"/>
      <c r="AC1696" s="40"/>
    </row>
    <row r="1697" spans="1:29" ht="25" hidden="1">
      <c r="A1697" s="751">
        <v>61415</v>
      </c>
      <c r="B1697" s="752" t="s">
        <v>35</v>
      </c>
      <c r="C1697" s="751" t="s">
        <v>2960</v>
      </c>
      <c r="D1697" s="752" t="s">
        <v>2200</v>
      </c>
      <c r="E1697" s="752" t="s">
        <v>2345</v>
      </c>
      <c r="F1697" s="751">
        <v>20326</v>
      </c>
      <c r="G1697" s="752" t="s">
        <v>83</v>
      </c>
      <c r="H1697" s="752" t="s">
        <v>1245</v>
      </c>
      <c r="I1697" s="752" t="s">
        <v>60</v>
      </c>
      <c r="J1697" s="751">
        <v>22</v>
      </c>
      <c r="K1697" s="751">
        <v>1</v>
      </c>
      <c r="L1697" s="752" t="s">
        <v>36</v>
      </c>
      <c r="M1697" s="752" t="s">
        <v>468</v>
      </c>
      <c r="N1697" s="752" t="s">
        <v>469</v>
      </c>
      <c r="O1697" s="752" t="s">
        <v>469</v>
      </c>
      <c r="P1697" s="752" t="s">
        <v>1238</v>
      </c>
      <c r="Q1697" s="753">
        <v>0</v>
      </c>
      <c r="R1697" s="753">
        <v>0</v>
      </c>
      <c r="S1697" s="753">
        <v>21716</v>
      </c>
      <c r="T1697" s="753">
        <v>21716</v>
      </c>
      <c r="U1697" s="753">
        <v>2439</v>
      </c>
      <c r="V1697" s="751">
        <v>2019</v>
      </c>
      <c r="W1697" s="222"/>
      <c r="X1697" s="186"/>
      <c r="Y1697" s="178" t="str">
        <f t="shared" si="82"/>
        <v/>
      </c>
      <c r="Z1697" s="178" t="str">
        <f t="shared" si="83"/>
        <v/>
      </c>
      <c r="AA1697" s="44"/>
      <c r="AB1697" s="65"/>
      <c r="AC1697" s="40"/>
    </row>
    <row r="1698" spans="1:29" ht="25" hidden="1">
      <c r="A1698" s="751">
        <v>61416</v>
      </c>
      <c r="B1698" s="752" t="s">
        <v>35</v>
      </c>
      <c r="C1698" s="751" t="s">
        <v>2960</v>
      </c>
      <c r="D1698" s="752" t="s">
        <v>2201</v>
      </c>
      <c r="E1698" s="752" t="s">
        <v>2201</v>
      </c>
      <c r="F1698" s="751">
        <v>61053</v>
      </c>
      <c r="G1698" s="752" t="s">
        <v>59</v>
      </c>
      <c r="H1698" s="752" t="s">
        <v>1244</v>
      </c>
      <c r="I1698" s="752" t="s">
        <v>60</v>
      </c>
      <c r="J1698" s="751">
        <v>622</v>
      </c>
      <c r="K1698" s="751">
        <v>4</v>
      </c>
      <c r="L1698" s="752" t="s">
        <v>422</v>
      </c>
      <c r="M1698" s="752" t="s">
        <v>53</v>
      </c>
      <c r="N1698" s="752" t="s">
        <v>48</v>
      </c>
      <c r="O1698" s="752" t="s">
        <v>48</v>
      </c>
      <c r="P1698" s="752" t="s">
        <v>49</v>
      </c>
      <c r="Q1698" s="753">
        <v>230</v>
      </c>
      <c r="R1698" s="753">
        <v>230</v>
      </c>
      <c r="S1698" s="753">
        <v>1267</v>
      </c>
      <c r="T1698" s="753">
        <v>1267</v>
      </c>
      <c r="U1698" s="753">
        <v>138</v>
      </c>
      <c r="V1698" s="751">
        <v>2019</v>
      </c>
      <c r="W1698" s="222"/>
      <c r="X1698" s="186"/>
      <c r="Y1698" s="178" t="str">
        <f t="shared" si="82"/>
        <v/>
      </c>
      <c r="Z1698" s="178" t="str">
        <f t="shared" si="83"/>
        <v/>
      </c>
      <c r="AA1698" s="44"/>
      <c r="AB1698" s="65"/>
      <c r="AC1698" s="40"/>
    </row>
    <row r="1699" spans="1:29" ht="25" hidden="1">
      <c r="A1699" s="751">
        <v>61429</v>
      </c>
      <c r="B1699" s="752" t="s">
        <v>35</v>
      </c>
      <c r="C1699" s="751" t="s">
        <v>2960</v>
      </c>
      <c r="D1699" s="752" t="s">
        <v>2504</v>
      </c>
      <c r="E1699" s="752" t="s">
        <v>2109</v>
      </c>
      <c r="F1699" s="751">
        <v>60281</v>
      </c>
      <c r="G1699" s="752" t="s">
        <v>83</v>
      </c>
      <c r="H1699" s="752" t="s">
        <v>1245</v>
      </c>
      <c r="I1699" s="752" t="s">
        <v>60</v>
      </c>
      <c r="J1699" s="751">
        <v>22</v>
      </c>
      <c r="K1699" s="751">
        <v>2</v>
      </c>
      <c r="L1699" s="752" t="s">
        <v>54</v>
      </c>
      <c r="M1699" s="752" t="s">
        <v>468</v>
      </c>
      <c r="N1699" s="752" t="s">
        <v>469</v>
      </c>
      <c r="O1699" s="752" t="s">
        <v>469</v>
      </c>
      <c r="P1699" s="752" t="s">
        <v>1238</v>
      </c>
      <c r="Q1699" s="753">
        <v>0</v>
      </c>
      <c r="R1699" s="753">
        <v>0</v>
      </c>
      <c r="S1699" s="753">
        <v>13196</v>
      </c>
      <c r="T1699" s="753">
        <v>13196</v>
      </c>
      <c r="U1699" s="753">
        <v>1482</v>
      </c>
      <c r="V1699" s="751">
        <v>2019</v>
      </c>
      <c r="W1699" s="222"/>
      <c r="X1699" s="186"/>
      <c r="Y1699" s="178" t="str">
        <f t="shared" si="82"/>
        <v/>
      </c>
      <c r="Z1699" s="178" t="str">
        <f t="shared" si="83"/>
        <v/>
      </c>
      <c r="AA1699" s="44"/>
      <c r="AB1699" s="65"/>
      <c r="AC1699" s="40"/>
    </row>
    <row r="1700" spans="1:29" hidden="1">
      <c r="A1700" s="751">
        <v>61460</v>
      </c>
      <c r="B1700" s="752" t="s">
        <v>35</v>
      </c>
      <c r="C1700" s="751" t="s">
        <v>2960</v>
      </c>
      <c r="D1700" s="752" t="s">
        <v>2346</v>
      </c>
      <c r="E1700" s="752" t="s">
        <v>2347</v>
      </c>
      <c r="F1700" s="751">
        <v>61077</v>
      </c>
      <c r="G1700" s="752" t="s">
        <v>92</v>
      </c>
      <c r="H1700" s="752" t="s">
        <v>1245</v>
      </c>
      <c r="I1700" s="752" t="s">
        <v>60</v>
      </c>
      <c r="J1700" s="751">
        <v>22</v>
      </c>
      <c r="K1700" s="751">
        <v>2</v>
      </c>
      <c r="L1700" s="752" t="s">
        <v>54</v>
      </c>
      <c r="M1700" s="752" t="s">
        <v>468</v>
      </c>
      <c r="N1700" s="752" t="s">
        <v>469</v>
      </c>
      <c r="O1700" s="752" t="s">
        <v>469</v>
      </c>
      <c r="P1700" s="752" t="s">
        <v>1238</v>
      </c>
      <c r="Q1700" s="753">
        <v>0</v>
      </c>
      <c r="R1700" s="753">
        <v>0</v>
      </c>
      <c r="S1700" s="753">
        <v>43630</v>
      </c>
      <c r="T1700" s="753">
        <v>43630</v>
      </c>
      <c r="U1700" s="753">
        <v>4900</v>
      </c>
      <c r="V1700" s="751">
        <v>2019</v>
      </c>
      <c r="W1700" s="222"/>
      <c r="X1700" s="186"/>
      <c r="Y1700" s="178" t="str">
        <f t="shared" si="82"/>
        <v/>
      </c>
      <c r="Z1700" s="178" t="str">
        <f t="shared" si="83"/>
        <v/>
      </c>
      <c r="AA1700" s="44"/>
      <c r="AB1700" s="65"/>
      <c r="AC1700" s="40"/>
    </row>
    <row r="1701" spans="1:29" hidden="1">
      <c r="A1701" s="751">
        <v>61461</v>
      </c>
      <c r="B1701" s="752" t="s">
        <v>35</v>
      </c>
      <c r="C1701" s="751" t="s">
        <v>2960</v>
      </c>
      <c r="D1701" s="752" t="s">
        <v>2505</v>
      </c>
      <c r="E1701" s="752" t="s">
        <v>2154</v>
      </c>
      <c r="F1701" s="751">
        <v>60571</v>
      </c>
      <c r="G1701" s="752" t="s">
        <v>136</v>
      </c>
      <c r="H1701" s="752" t="s">
        <v>1245</v>
      </c>
      <c r="I1701" s="752" t="s">
        <v>60</v>
      </c>
      <c r="J1701" s="751">
        <v>22</v>
      </c>
      <c r="K1701" s="751">
        <v>2</v>
      </c>
      <c r="L1701" s="752" t="s">
        <v>54</v>
      </c>
      <c r="M1701" s="752" t="s">
        <v>468</v>
      </c>
      <c r="N1701" s="752" t="s">
        <v>469</v>
      </c>
      <c r="O1701" s="752" t="s">
        <v>469</v>
      </c>
      <c r="P1701" s="752" t="s">
        <v>1238</v>
      </c>
      <c r="Q1701" s="753">
        <v>0</v>
      </c>
      <c r="R1701" s="753">
        <v>0</v>
      </c>
      <c r="S1701" s="753">
        <v>27147</v>
      </c>
      <c r="T1701" s="753">
        <v>27147</v>
      </c>
      <c r="U1701" s="753">
        <v>3049</v>
      </c>
      <c r="V1701" s="751">
        <v>2019</v>
      </c>
      <c r="W1701" s="222"/>
      <c r="X1701" s="186"/>
      <c r="Y1701" s="178" t="str">
        <f t="shared" si="82"/>
        <v/>
      </c>
      <c r="Z1701" s="178" t="str">
        <f t="shared" si="83"/>
        <v/>
      </c>
      <c r="AA1701" s="44"/>
      <c r="AB1701" s="65"/>
      <c r="AC1701" s="40"/>
    </row>
    <row r="1702" spans="1:29" hidden="1">
      <c r="A1702" s="751">
        <v>61469</v>
      </c>
      <c r="B1702" s="752" t="s">
        <v>35</v>
      </c>
      <c r="C1702" s="751" t="s">
        <v>2960</v>
      </c>
      <c r="D1702" s="752" t="s">
        <v>2506</v>
      </c>
      <c r="E1702" s="752" t="s">
        <v>2340</v>
      </c>
      <c r="F1702" s="751">
        <v>61012</v>
      </c>
      <c r="G1702" s="752" t="s">
        <v>59</v>
      </c>
      <c r="H1702" s="752" t="s">
        <v>1244</v>
      </c>
      <c r="I1702" s="752" t="s">
        <v>60</v>
      </c>
      <c r="J1702" s="751">
        <v>22</v>
      </c>
      <c r="K1702" s="751">
        <v>2</v>
      </c>
      <c r="L1702" s="752" t="s">
        <v>54</v>
      </c>
      <c r="M1702" s="752" t="s">
        <v>468</v>
      </c>
      <c r="N1702" s="752" t="s">
        <v>469</v>
      </c>
      <c r="O1702" s="752" t="s">
        <v>469</v>
      </c>
      <c r="P1702" s="752" t="s">
        <v>1238</v>
      </c>
      <c r="Q1702" s="753">
        <v>0</v>
      </c>
      <c r="R1702" s="753">
        <v>0</v>
      </c>
      <c r="S1702" s="753">
        <v>21913</v>
      </c>
      <c r="T1702" s="753">
        <v>21913</v>
      </c>
      <c r="U1702" s="753">
        <v>2461</v>
      </c>
      <c r="V1702" s="751">
        <v>2019</v>
      </c>
      <c r="W1702" s="222"/>
      <c r="X1702" s="186"/>
      <c r="Y1702" s="178" t="str">
        <f t="shared" si="82"/>
        <v/>
      </c>
      <c r="Z1702" s="178" t="str">
        <f t="shared" si="83"/>
        <v/>
      </c>
      <c r="AA1702" s="44"/>
      <c r="AB1702" s="65"/>
      <c r="AC1702" s="40"/>
    </row>
    <row r="1703" spans="1:29" hidden="1">
      <c r="A1703" s="751">
        <v>61470</v>
      </c>
      <c r="B1703" s="752" t="s">
        <v>35</v>
      </c>
      <c r="C1703" s="751" t="s">
        <v>2960</v>
      </c>
      <c r="D1703" s="752" t="s">
        <v>2507</v>
      </c>
      <c r="E1703" s="752" t="s">
        <v>2340</v>
      </c>
      <c r="F1703" s="751">
        <v>61012</v>
      </c>
      <c r="G1703" s="752" t="s">
        <v>59</v>
      </c>
      <c r="H1703" s="752" t="s">
        <v>1244</v>
      </c>
      <c r="I1703" s="752" t="s">
        <v>60</v>
      </c>
      <c r="J1703" s="751">
        <v>22</v>
      </c>
      <c r="K1703" s="751">
        <v>2</v>
      </c>
      <c r="L1703" s="752" t="s">
        <v>54</v>
      </c>
      <c r="M1703" s="752" t="s">
        <v>468</v>
      </c>
      <c r="N1703" s="752" t="s">
        <v>469</v>
      </c>
      <c r="O1703" s="752" t="s">
        <v>469</v>
      </c>
      <c r="P1703" s="752" t="s">
        <v>1238</v>
      </c>
      <c r="Q1703" s="753">
        <v>0</v>
      </c>
      <c r="R1703" s="753">
        <v>0</v>
      </c>
      <c r="S1703" s="753">
        <v>28706</v>
      </c>
      <c r="T1703" s="753">
        <v>28706</v>
      </c>
      <c r="U1703" s="753">
        <v>3224</v>
      </c>
      <c r="V1703" s="751">
        <v>2019</v>
      </c>
      <c r="W1703" s="222"/>
      <c r="X1703" s="186"/>
      <c r="Y1703" s="178" t="str">
        <f t="shared" si="82"/>
        <v/>
      </c>
      <c r="Z1703" s="178" t="str">
        <f t="shared" si="83"/>
        <v/>
      </c>
      <c r="AA1703" s="44"/>
      <c r="AB1703" s="65"/>
      <c r="AC1703" s="40"/>
    </row>
    <row r="1704" spans="1:29" hidden="1">
      <c r="A1704" s="751">
        <v>61471</v>
      </c>
      <c r="B1704" s="752" t="s">
        <v>35</v>
      </c>
      <c r="C1704" s="751" t="s">
        <v>2960</v>
      </c>
      <c r="D1704" s="752" t="s">
        <v>2508</v>
      </c>
      <c r="E1704" s="752" t="s">
        <v>2340</v>
      </c>
      <c r="F1704" s="751">
        <v>61012</v>
      </c>
      <c r="G1704" s="752" t="s">
        <v>59</v>
      </c>
      <c r="H1704" s="752" t="s">
        <v>1244</v>
      </c>
      <c r="I1704" s="752" t="s">
        <v>60</v>
      </c>
      <c r="J1704" s="751">
        <v>22</v>
      </c>
      <c r="K1704" s="751">
        <v>2</v>
      </c>
      <c r="L1704" s="752" t="s">
        <v>54</v>
      </c>
      <c r="M1704" s="752" t="s">
        <v>468</v>
      </c>
      <c r="N1704" s="752" t="s">
        <v>469</v>
      </c>
      <c r="O1704" s="752" t="s">
        <v>469</v>
      </c>
      <c r="P1704" s="752" t="s">
        <v>1238</v>
      </c>
      <c r="Q1704" s="753">
        <v>0</v>
      </c>
      <c r="R1704" s="753">
        <v>0</v>
      </c>
      <c r="S1704" s="753">
        <v>26123</v>
      </c>
      <c r="T1704" s="753">
        <v>26123</v>
      </c>
      <c r="U1704" s="753">
        <v>2934</v>
      </c>
      <c r="V1704" s="751">
        <v>2019</v>
      </c>
      <c r="W1704" s="222"/>
      <c r="X1704" s="186"/>
      <c r="Y1704" s="178" t="str">
        <f t="shared" si="82"/>
        <v/>
      </c>
      <c r="Z1704" s="178" t="str">
        <f t="shared" si="83"/>
        <v/>
      </c>
      <c r="AA1704" s="44"/>
      <c r="AB1704" s="65"/>
      <c r="AC1704" s="40"/>
    </row>
    <row r="1705" spans="1:29" hidden="1">
      <c r="A1705" s="751">
        <v>61487</v>
      </c>
      <c r="B1705" s="752" t="s">
        <v>35</v>
      </c>
      <c r="C1705" s="751" t="s">
        <v>2960</v>
      </c>
      <c r="D1705" s="752" t="s">
        <v>2348</v>
      </c>
      <c r="E1705" s="752" t="s">
        <v>2349</v>
      </c>
      <c r="F1705" s="751">
        <v>61093</v>
      </c>
      <c r="G1705" s="752" t="s">
        <v>59</v>
      </c>
      <c r="H1705" s="752" t="s">
        <v>1244</v>
      </c>
      <c r="I1705" s="752" t="s">
        <v>60</v>
      </c>
      <c r="J1705" s="751">
        <v>22</v>
      </c>
      <c r="K1705" s="751">
        <v>2</v>
      </c>
      <c r="L1705" s="752" t="s">
        <v>54</v>
      </c>
      <c r="M1705" s="752" t="s">
        <v>468</v>
      </c>
      <c r="N1705" s="752" t="s">
        <v>469</v>
      </c>
      <c r="O1705" s="752" t="s">
        <v>469</v>
      </c>
      <c r="P1705" s="752" t="s">
        <v>1238</v>
      </c>
      <c r="Q1705" s="753">
        <v>0</v>
      </c>
      <c r="R1705" s="753">
        <v>0</v>
      </c>
      <c r="S1705" s="753">
        <v>124201</v>
      </c>
      <c r="T1705" s="753">
        <v>124201</v>
      </c>
      <c r="U1705" s="753">
        <v>13949</v>
      </c>
      <c r="V1705" s="751">
        <v>2019</v>
      </c>
      <c r="W1705" s="222"/>
      <c r="X1705" s="186"/>
      <c r="Y1705" s="178" t="str">
        <f t="shared" si="82"/>
        <v/>
      </c>
      <c r="Z1705" s="178" t="str">
        <f t="shared" si="83"/>
        <v/>
      </c>
      <c r="AA1705" s="44"/>
      <c r="AB1705" s="65"/>
      <c r="AC1705" s="40"/>
    </row>
    <row r="1706" spans="1:29" ht="25" hidden="1">
      <c r="A1706" s="751">
        <v>61488</v>
      </c>
      <c r="B1706" s="752" t="s">
        <v>35</v>
      </c>
      <c r="C1706" s="751" t="s">
        <v>2960</v>
      </c>
      <c r="D1706" s="752" t="s">
        <v>2350</v>
      </c>
      <c r="E1706" s="752" t="s">
        <v>2350</v>
      </c>
      <c r="F1706" s="751">
        <v>61094</v>
      </c>
      <c r="G1706" s="752" t="s">
        <v>59</v>
      </c>
      <c r="H1706" s="752" t="s">
        <v>1244</v>
      </c>
      <c r="I1706" s="752" t="s">
        <v>60</v>
      </c>
      <c r="J1706" s="751">
        <v>622</v>
      </c>
      <c r="K1706" s="751">
        <v>4</v>
      </c>
      <c r="L1706" s="752" t="s">
        <v>422</v>
      </c>
      <c r="M1706" s="752" t="s">
        <v>52</v>
      </c>
      <c r="N1706" s="752" t="s">
        <v>41</v>
      </c>
      <c r="O1706" s="752" t="s">
        <v>41</v>
      </c>
      <c r="P1706" s="752" t="s">
        <v>1091</v>
      </c>
      <c r="Q1706" s="753">
        <v>1053000</v>
      </c>
      <c r="R1706" s="753">
        <v>1053000</v>
      </c>
      <c r="S1706" s="753">
        <v>1084590</v>
      </c>
      <c r="T1706" s="753">
        <v>1084590</v>
      </c>
      <c r="U1706" s="753">
        <v>51049</v>
      </c>
      <c r="V1706" s="751">
        <v>2019</v>
      </c>
      <c r="W1706" s="222"/>
      <c r="X1706" s="186"/>
      <c r="Y1706" s="178" t="str">
        <f t="shared" si="82"/>
        <v/>
      </c>
      <c r="Z1706" s="178" t="str">
        <f t="shared" si="83"/>
        <v/>
      </c>
      <c r="AA1706" s="44"/>
      <c r="AB1706" s="65"/>
      <c r="AC1706" s="40"/>
    </row>
    <row r="1707" spans="1:29" ht="25" hidden="1">
      <c r="A1707" s="751">
        <v>61488</v>
      </c>
      <c r="B1707" s="752" t="s">
        <v>35</v>
      </c>
      <c r="C1707" s="751" t="s">
        <v>2960</v>
      </c>
      <c r="D1707" s="752" t="s">
        <v>2350</v>
      </c>
      <c r="E1707" s="752" t="s">
        <v>2350</v>
      </c>
      <c r="F1707" s="751">
        <v>61094</v>
      </c>
      <c r="G1707" s="752" t="s">
        <v>59</v>
      </c>
      <c r="H1707" s="752" t="s">
        <v>1244</v>
      </c>
      <c r="I1707" s="752" t="s">
        <v>60</v>
      </c>
      <c r="J1707" s="751">
        <v>622</v>
      </c>
      <c r="K1707" s="751">
        <v>4</v>
      </c>
      <c r="L1707" s="752" t="s">
        <v>422</v>
      </c>
      <c r="M1707" s="752" t="s">
        <v>53</v>
      </c>
      <c r="N1707" s="752" t="s">
        <v>48</v>
      </c>
      <c r="O1707" s="752" t="s">
        <v>48</v>
      </c>
      <c r="P1707" s="752" t="s">
        <v>49</v>
      </c>
      <c r="Q1707" s="753">
        <v>166</v>
      </c>
      <c r="R1707" s="753">
        <v>166</v>
      </c>
      <c r="S1707" s="753">
        <v>915</v>
      </c>
      <c r="T1707" s="753">
        <v>915</v>
      </c>
      <c r="U1707" s="753">
        <v>97</v>
      </c>
      <c r="V1707" s="751">
        <v>2019</v>
      </c>
      <c r="W1707" s="222"/>
      <c r="X1707" s="186"/>
      <c r="Y1707" s="178" t="str">
        <f t="shared" si="82"/>
        <v/>
      </c>
      <c r="Z1707" s="178" t="str">
        <f t="shared" si="83"/>
        <v/>
      </c>
      <c r="AA1707" s="44"/>
      <c r="AB1707" s="65"/>
      <c r="AC1707" s="40"/>
    </row>
    <row r="1708" spans="1:29" ht="25" hidden="1">
      <c r="A1708" s="751">
        <v>61499</v>
      </c>
      <c r="B1708" s="752" t="s">
        <v>35</v>
      </c>
      <c r="C1708" s="751" t="s">
        <v>2960</v>
      </c>
      <c r="D1708" s="752" t="s">
        <v>2351</v>
      </c>
      <c r="E1708" s="752" t="s">
        <v>1189</v>
      </c>
      <c r="F1708" s="751">
        <v>56769</v>
      </c>
      <c r="G1708" s="752" t="s">
        <v>136</v>
      </c>
      <c r="H1708" s="752" t="s">
        <v>1245</v>
      </c>
      <c r="I1708" s="752" t="s">
        <v>60</v>
      </c>
      <c r="J1708" s="751">
        <v>22</v>
      </c>
      <c r="K1708" s="751">
        <v>2</v>
      </c>
      <c r="L1708" s="752" t="s">
        <v>54</v>
      </c>
      <c r="M1708" s="752" t="s">
        <v>468</v>
      </c>
      <c r="N1708" s="752" t="s">
        <v>469</v>
      </c>
      <c r="O1708" s="752" t="s">
        <v>469</v>
      </c>
      <c r="P1708" s="752" t="s">
        <v>1238</v>
      </c>
      <c r="Q1708" s="753">
        <v>0</v>
      </c>
      <c r="R1708" s="753">
        <v>0</v>
      </c>
      <c r="S1708" s="753">
        <v>28467</v>
      </c>
      <c r="T1708" s="753">
        <v>28467</v>
      </c>
      <c r="U1708" s="753">
        <v>3197</v>
      </c>
      <c r="V1708" s="751">
        <v>2019</v>
      </c>
      <c r="W1708" s="222"/>
      <c r="X1708" s="186"/>
      <c r="Y1708" s="178" t="str">
        <f t="shared" si="82"/>
        <v/>
      </c>
      <c r="Z1708" s="178" t="str">
        <f t="shared" si="83"/>
        <v/>
      </c>
      <c r="AA1708" s="44"/>
      <c r="AB1708" s="65"/>
      <c r="AC1708" s="40"/>
    </row>
    <row r="1709" spans="1:29" hidden="1">
      <c r="A1709" s="751">
        <v>61509</v>
      </c>
      <c r="B1709" s="752" t="s">
        <v>35</v>
      </c>
      <c r="C1709" s="751" t="s">
        <v>2960</v>
      </c>
      <c r="D1709" s="752" t="s">
        <v>2352</v>
      </c>
      <c r="E1709" s="752" t="s">
        <v>2340</v>
      </c>
      <c r="F1709" s="751">
        <v>61012</v>
      </c>
      <c r="G1709" s="752" t="s">
        <v>59</v>
      </c>
      <c r="H1709" s="752" t="s">
        <v>1244</v>
      </c>
      <c r="I1709" s="752" t="s">
        <v>60</v>
      </c>
      <c r="J1709" s="751">
        <v>22</v>
      </c>
      <c r="K1709" s="751">
        <v>2</v>
      </c>
      <c r="L1709" s="752" t="s">
        <v>54</v>
      </c>
      <c r="M1709" s="752" t="s">
        <v>468</v>
      </c>
      <c r="N1709" s="752" t="s">
        <v>469</v>
      </c>
      <c r="O1709" s="752" t="s">
        <v>469</v>
      </c>
      <c r="P1709" s="752" t="s">
        <v>1238</v>
      </c>
      <c r="Q1709" s="753">
        <v>0</v>
      </c>
      <c r="R1709" s="753">
        <v>0</v>
      </c>
      <c r="S1709" s="753">
        <v>42554</v>
      </c>
      <c r="T1709" s="753">
        <v>42554</v>
      </c>
      <c r="U1709" s="753">
        <v>4779</v>
      </c>
      <c r="V1709" s="751">
        <v>2019</v>
      </c>
      <c r="W1709" s="222"/>
      <c r="X1709" s="186"/>
      <c r="Y1709" s="178" t="str">
        <f t="shared" si="82"/>
        <v/>
      </c>
      <c r="Z1709" s="178" t="str">
        <f t="shared" si="83"/>
        <v/>
      </c>
      <c r="AA1709" s="44"/>
      <c r="AB1709" s="65"/>
      <c r="AC1709" s="40"/>
    </row>
    <row r="1710" spans="1:29" hidden="1">
      <c r="A1710" s="751">
        <v>61510</v>
      </c>
      <c r="B1710" s="752" t="s">
        <v>35</v>
      </c>
      <c r="C1710" s="751" t="s">
        <v>2960</v>
      </c>
      <c r="D1710" s="752" t="s">
        <v>2353</v>
      </c>
      <c r="E1710" s="752" t="s">
        <v>2340</v>
      </c>
      <c r="F1710" s="751">
        <v>61012</v>
      </c>
      <c r="G1710" s="752" t="s">
        <v>59</v>
      </c>
      <c r="H1710" s="752" t="s">
        <v>1244</v>
      </c>
      <c r="I1710" s="752" t="s">
        <v>60</v>
      </c>
      <c r="J1710" s="751">
        <v>22</v>
      </c>
      <c r="K1710" s="751">
        <v>2</v>
      </c>
      <c r="L1710" s="752" t="s">
        <v>54</v>
      </c>
      <c r="M1710" s="752" t="s">
        <v>468</v>
      </c>
      <c r="N1710" s="752" t="s">
        <v>469</v>
      </c>
      <c r="O1710" s="752" t="s">
        <v>469</v>
      </c>
      <c r="P1710" s="752" t="s">
        <v>1238</v>
      </c>
      <c r="Q1710" s="753">
        <v>0</v>
      </c>
      <c r="R1710" s="753">
        <v>0</v>
      </c>
      <c r="S1710" s="753">
        <v>79539</v>
      </c>
      <c r="T1710" s="753">
        <v>79539</v>
      </c>
      <c r="U1710" s="753">
        <v>8933</v>
      </c>
      <c r="V1710" s="751">
        <v>2019</v>
      </c>
      <c r="W1710" s="222"/>
      <c r="X1710" s="186"/>
      <c r="Y1710" s="178" t="str">
        <f t="shared" si="82"/>
        <v/>
      </c>
      <c r="Z1710" s="178" t="str">
        <f t="shared" si="83"/>
        <v/>
      </c>
      <c r="AA1710" s="44"/>
      <c r="AB1710" s="65"/>
      <c r="AC1710" s="40"/>
    </row>
    <row r="1711" spans="1:29" hidden="1">
      <c r="A1711" s="751">
        <v>61518</v>
      </c>
      <c r="B1711" s="752" t="s">
        <v>35</v>
      </c>
      <c r="C1711" s="751" t="s">
        <v>2960</v>
      </c>
      <c r="D1711" s="752" t="s">
        <v>2354</v>
      </c>
      <c r="E1711" s="752" t="s">
        <v>2355</v>
      </c>
      <c r="F1711" s="751">
        <v>61125</v>
      </c>
      <c r="G1711" s="752" t="s">
        <v>83</v>
      </c>
      <c r="H1711" s="752" t="s">
        <v>1245</v>
      </c>
      <c r="I1711" s="752" t="s">
        <v>60</v>
      </c>
      <c r="J1711" s="751">
        <v>22</v>
      </c>
      <c r="K1711" s="751">
        <v>2</v>
      </c>
      <c r="L1711" s="752" t="s">
        <v>54</v>
      </c>
      <c r="M1711" s="752" t="s">
        <v>468</v>
      </c>
      <c r="N1711" s="752" t="s">
        <v>469</v>
      </c>
      <c r="O1711" s="752" t="s">
        <v>469</v>
      </c>
      <c r="P1711" s="752" t="s">
        <v>1238</v>
      </c>
      <c r="Q1711" s="753">
        <v>0</v>
      </c>
      <c r="R1711" s="753">
        <v>0</v>
      </c>
      <c r="S1711" s="753">
        <v>21005</v>
      </c>
      <c r="T1711" s="753">
        <v>21005</v>
      </c>
      <c r="U1711" s="753">
        <v>2359</v>
      </c>
      <c r="V1711" s="751">
        <v>2019</v>
      </c>
      <c r="W1711" s="222"/>
      <c r="X1711" s="186"/>
      <c r="Y1711" s="178" t="str">
        <f t="shared" si="82"/>
        <v/>
      </c>
      <c r="Z1711" s="178" t="str">
        <f t="shared" si="83"/>
        <v/>
      </c>
      <c r="AA1711" s="44"/>
      <c r="AB1711" s="65"/>
      <c r="AC1711" s="40"/>
    </row>
    <row r="1712" spans="1:29" hidden="1">
      <c r="A1712" s="751">
        <v>61526</v>
      </c>
      <c r="B1712" s="752" t="s">
        <v>35</v>
      </c>
      <c r="C1712" s="751" t="s">
        <v>2960</v>
      </c>
      <c r="D1712" s="752" t="s">
        <v>2509</v>
      </c>
      <c r="E1712" s="752" t="s">
        <v>2286</v>
      </c>
      <c r="F1712" s="751">
        <v>61060</v>
      </c>
      <c r="G1712" s="752" t="s">
        <v>83</v>
      </c>
      <c r="H1712" s="752" t="s">
        <v>1245</v>
      </c>
      <c r="I1712" s="752" t="s">
        <v>60</v>
      </c>
      <c r="J1712" s="751">
        <v>22</v>
      </c>
      <c r="K1712" s="751">
        <v>2</v>
      </c>
      <c r="L1712" s="752" t="s">
        <v>54</v>
      </c>
      <c r="M1712" s="752" t="s">
        <v>468</v>
      </c>
      <c r="N1712" s="752" t="s">
        <v>469</v>
      </c>
      <c r="O1712" s="752" t="s">
        <v>469</v>
      </c>
      <c r="P1712" s="752" t="s">
        <v>1238</v>
      </c>
      <c r="Q1712" s="753">
        <v>0</v>
      </c>
      <c r="R1712" s="753">
        <v>0</v>
      </c>
      <c r="S1712" s="753">
        <v>12777</v>
      </c>
      <c r="T1712" s="753">
        <v>12777</v>
      </c>
      <c r="U1712" s="753">
        <v>1435</v>
      </c>
      <c r="V1712" s="751">
        <v>2019</v>
      </c>
      <c r="W1712" s="222"/>
      <c r="X1712" s="186"/>
      <c r="Y1712" s="178" t="str">
        <f t="shared" si="82"/>
        <v/>
      </c>
      <c r="Z1712" s="178" t="str">
        <f t="shared" si="83"/>
        <v/>
      </c>
      <c r="AA1712" s="44"/>
      <c r="AB1712" s="65"/>
      <c r="AC1712" s="40"/>
    </row>
    <row r="1713" spans="1:29" hidden="1">
      <c r="A1713" s="751">
        <v>61537</v>
      </c>
      <c r="B1713" s="752" t="s">
        <v>35</v>
      </c>
      <c r="C1713" s="751" t="s">
        <v>2960</v>
      </c>
      <c r="D1713" s="752" t="s">
        <v>2356</v>
      </c>
      <c r="E1713" s="752" t="s">
        <v>2357</v>
      </c>
      <c r="F1713" s="751">
        <v>61146</v>
      </c>
      <c r="G1713" s="752" t="s">
        <v>83</v>
      </c>
      <c r="H1713" s="752" t="s">
        <v>1245</v>
      </c>
      <c r="I1713" s="752" t="s">
        <v>60</v>
      </c>
      <c r="J1713" s="751">
        <v>22</v>
      </c>
      <c r="K1713" s="751">
        <v>2</v>
      </c>
      <c r="L1713" s="752" t="s">
        <v>54</v>
      </c>
      <c r="M1713" s="752" t="s">
        <v>468</v>
      </c>
      <c r="N1713" s="752" t="s">
        <v>469</v>
      </c>
      <c r="O1713" s="752" t="s">
        <v>469</v>
      </c>
      <c r="P1713" s="752" t="s">
        <v>1238</v>
      </c>
      <c r="Q1713" s="753">
        <v>0</v>
      </c>
      <c r="R1713" s="753">
        <v>0</v>
      </c>
      <c r="S1713" s="753">
        <v>25777</v>
      </c>
      <c r="T1713" s="753">
        <v>25777</v>
      </c>
      <c r="U1713" s="753">
        <v>2895</v>
      </c>
      <c r="V1713" s="751">
        <v>2019</v>
      </c>
      <c r="W1713" s="222"/>
      <c r="X1713" s="186"/>
      <c r="Y1713" s="178" t="str">
        <f t="shared" si="82"/>
        <v/>
      </c>
      <c r="Z1713" s="178" t="str">
        <f t="shared" si="83"/>
        <v/>
      </c>
      <c r="AA1713" s="44"/>
      <c r="AB1713" s="65"/>
      <c r="AC1713" s="40"/>
    </row>
    <row r="1714" spans="1:29" hidden="1">
      <c r="A1714" s="751">
        <v>61538</v>
      </c>
      <c r="B1714" s="752" t="s">
        <v>35</v>
      </c>
      <c r="C1714" s="751" t="s">
        <v>2960</v>
      </c>
      <c r="D1714" s="752" t="s">
        <v>2358</v>
      </c>
      <c r="E1714" s="752" t="s">
        <v>2359</v>
      </c>
      <c r="F1714" s="751">
        <v>61147</v>
      </c>
      <c r="G1714" s="752" t="s">
        <v>83</v>
      </c>
      <c r="H1714" s="752" t="s">
        <v>1245</v>
      </c>
      <c r="I1714" s="752" t="s">
        <v>60</v>
      </c>
      <c r="J1714" s="751">
        <v>22</v>
      </c>
      <c r="K1714" s="751">
        <v>2</v>
      </c>
      <c r="L1714" s="752" t="s">
        <v>54</v>
      </c>
      <c r="M1714" s="752" t="s">
        <v>468</v>
      </c>
      <c r="N1714" s="752" t="s">
        <v>469</v>
      </c>
      <c r="O1714" s="752" t="s">
        <v>469</v>
      </c>
      <c r="P1714" s="752" t="s">
        <v>1238</v>
      </c>
      <c r="Q1714" s="753">
        <v>0</v>
      </c>
      <c r="R1714" s="753">
        <v>0</v>
      </c>
      <c r="S1714" s="753">
        <v>14192</v>
      </c>
      <c r="T1714" s="753">
        <v>14192</v>
      </c>
      <c r="U1714" s="753">
        <v>1594</v>
      </c>
      <c r="V1714" s="751">
        <v>2019</v>
      </c>
      <c r="W1714" s="222"/>
      <c r="X1714" s="186"/>
      <c r="Y1714" s="178" t="str">
        <f t="shared" si="82"/>
        <v/>
      </c>
      <c r="Z1714" s="178" t="str">
        <f t="shared" si="83"/>
        <v/>
      </c>
      <c r="AA1714" s="44"/>
      <c r="AB1714" s="65"/>
      <c r="AC1714" s="40"/>
    </row>
    <row r="1715" spans="1:29" hidden="1">
      <c r="A1715" s="751">
        <v>61539</v>
      </c>
      <c r="B1715" s="752" t="s">
        <v>35</v>
      </c>
      <c r="C1715" s="751" t="s">
        <v>2960</v>
      </c>
      <c r="D1715" s="752" t="s">
        <v>2360</v>
      </c>
      <c r="E1715" s="752" t="s">
        <v>2361</v>
      </c>
      <c r="F1715" s="751">
        <v>61148</v>
      </c>
      <c r="G1715" s="752" t="s">
        <v>83</v>
      </c>
      <c r="H1715" s="752" t="s">
        <v>1245</v>
      </c>
      <c r="I1715" s="752" t="s">
        <v>60</v>
      </c>
      <c r="J1715" s="751">
        <v>22</v>
      </c>
      <c r="K1715" s="751">
        <v>2</v>
      </c>
      <c r="L1715" s="752" t="s">
        <v>54</v>
      </c>
      <c r="M1715" s="752" t="s">
        <v>468</v>
      </c>
      <c r="N1715" s="752" t="s">
        <v>469</v>
      </c>
      <c r="O1715" s="752" t="s">
        <v>469</v>
      </c>
      <c r="P1715" s="752" t="s">
        <v>1238</v>
      </c>
      <c r="Q1715" s="753">
        <v>0</v>
      </c>
      <c r="R1715" s="753">
        <v>0</v>
      </c>
      <c r="S1715" s="753">
        <v>31208</v>
      </c>
      <c r="T1715" s="753">
        <v>31208</v>
      </c>
      <c r="U1715" s="753">
        <v>3505</v>
      </c>
      <c r="V1715" s="751">
        <v>2019</v>
      </c>
      <c r="W1715" s="222"/>
      <c r="X1715" s="186"/>
      <c r="Y1715" s="178" t="str">
        <f t="shared" si="82"/>
        <v/>
      </c>
      <c r="Z1715" s="178" t="str">
        <f t="shared" si="83"/>
        <v/>
      </c>
      <c r="AA1715" s="44"/>
      <c r="AB1715" s="65"/>
      <c r="AC1715" s="40"/>
    </row>
    <row r="1716" spans="1:29" hidden="1">
      <c r="A1716" s="751">
        <v>61541</v>
      </c>
      <c r="B1716" s="752" t="s">
        <v>35</v>
      </c>
      <c r="C1716" s="751" t="s">
        <v>2960</v>
      </c>
      <c r="D1716" s="752" t="s">
        <v>2510</v>
      </c>
      <c r="E1716" s="752" t="s">
        <v>2040</v>
      </c>
      <c r="F1716" s="751">
        <v>60947</v>
      </c>
      <c r="G1716" s="752" t="s">
        <v>43</v>
      </c>
      <c r="H1716" s="752" t="s">
        <v>1245</v>
      </c>
      <c r="I1716" s="752" t="s">
        <v>60</v>
      </c>
      <c r="J1716" s="751">
        <v>22</v>
      </c>
      <c r="K1716" s="751">
        <v>2</v>
      </c>
      <c r="L1716" s="752" t="s">
        <v>54</v>
      </c>
      <c r="M1716" s="752" t="s">
        <v>468</v>
      </c>
      <c r="N1716" s="752" t="s">
        <v>469</v>
      </c>
      <c r="O1716" s="752" t="s">
        <v>469</v>
      </c>
      <c r="P1716" s="752" t="s">
        <v>1238</v>
      </c>
      <c r="Q1716" s="753">
        <v>0</v>
      </c>
      <c r="R1716" s="753">
        <v>0</v>
      </c>
      <c r="S1716" s="753">
        <v>13258</v>
      </c>
      <c r="T1716" s="753">
        <v>13258</v>
      </c>
      <c r="U1716" s="753">
        <v>1489</v>
      </c>
      <c r="V1716" s="751">
        <v>2019</v>
      </c>
      <c r="W1716" s="222"/>
      <c r="X1716" s="186"/>
      <c r="Y1716" s="178" t="str">
        <f t="shared" si="82"/>
        <v/>
      </c>
      <c r="Z1716" s="178" t="str">
        <f t="shared" si="83"/>
        <v/>
      </c>
      <c r="AA1716" s="44"/>
      <c r="AB1716" s="65"/>
      <c r="AC1716" s="40"/>
    </row>
    <row r="1717" spans="1:29" hidden="1">
      <c r="A1717" s="751">
        <v>61550</v>
      </c>
      <c r="B1717" s="752" t="s">
        <v>35</v>
      </c>
      <c r="C1717" s="751" t="s">
        <v>2960</v>
      </c>
      <c r="D1717" s="752" t="s">
        <v>2994</v>
      </c>
      <c r="E1717" s="752" t="s">
        <v>2362</v>
      </c>
      <c r="F1717" s="751">
        <v>61151</v>
      </c>
      <c r="G1717" s="752" t="s">
        <v>83</v>
      </c>
      <c r="H1717" s="752" t="s">
        <v>1245</v>
      </c>
      <c r="I1717" s="752" t="s">
        <v>60</v>
      </c>
      <c r="J1717" s="751">
        <v>22</v>
      </c>
      <c r="K1717" s="751">
        <v>2</v>
      </c>
      <c r="L1717" s="752" t="s">
        <v>54</v>
      </c>
      <c r="M1717" s="752" t="s">
        <v>468</v>
      </c>
      <c r="N1717" s="752" t="s">
        <v>469</v>
      </c>
      <c r="O1717" s="752" t="s">
        <v>469</v>
      </c>
      <c r="P1717" s="752" t="s">
        <v>1238</v>
      </c>
      <c r="Q1717" s="753">
        <v>0</v>
      </c>
      <c r="R1717" s="753">
        <v>0</v>
      </c>
      <c r="S1717" s="753">
        <v>43309</v>
      </c>
      <c r="T1717" s="753">
        <v>43309</v>
      </c>
      <c r="U1717" s="753">
        <v>4864</v>
      </c>
      <c r="V1717" s="751">
        <v>2019</v>
      </c>
      <c r="W1717" s="222"/>
      <c r="X1717" s="186"/>
      <c r="Y1717" s="178" t="str">
        <f t="shared" si="82"/>
        <v/>
      </c>
      <c r="Z1717" s="178" t="str">
        <f t="shared" si="83"/>
        <v/>
      </c>
      <c r="AA1717" s="44"/>
      <c r="AB1717" s="65"/>
      <c r="AC1717" s="40"/>
    </row>
    <row r="1718" spans="1:29" ht="25" hidden="1">
      <c r="A1718" s="751">
        <v>61551</v>
      </c>
      <c r="B1718" s="752" t="s">
        <v>35</v>
      </c>
      <c r="C1718" s="751" t="s">
        <v>2960</v>
      </c>
      <c r="D1718" s="752" t="s">
        <v>2363</v>
      </c>
      <c r="E1718" s="752" t="s">
        <v>2363</v>
      </c>
      <c r="F1718" s="751">
        <v>61152</v>
      </c>
      <c r="G1718" s="752" t="s">
        <v>59</v>
      </c>
      <c r="H1718" s="752" t="s">
        <v>1244</v>
      </c>
      <c r="I1718" s="752" t="s">
        <v>60</v>
      </c>
      <c r="J1718" s="751">
        <v>622</v>
      </c>
      <c r="K1718" s="751">
        <v>4</v>
      </c>
      <c r="L1718" s="752" t="s">
        <v>422</v>
      </c>
      <c r="M1718" s="752" t="s">
        <v>53</v>
      </c>
      <c r="N1718" s="752" t="s">
        <v>48</v>
      </c>
      <c r="O1718" s="752" t="s">
        <v>48</v>
      </c>
      <c r="P1718" s="752" t="s">
        <v>49</v>
      </c>
      <c r="Q1718" s="753">
        <v>39</v>
      </c>
      <c r="R1718" s="753">
        <v>39</v>
      </c>
      <c r="S1718" s="753">
        <v>215</v>
      </c>
      <c r="T1718" s="753">
        <v>215</v>
      </c>
      <c r="U1718" s="753">
        <v>22</v>
      </c>
      <c r="V1718" s="751">
        <v>2019</v>
      </c>
      <c r="W1718" s="222"/>
      <c r="X1718" s="186"/>
      <c r="Y1718" s="178" t="str">
        <f t="shared" si="82"/>
        <v/>
      </c>
      <c r="Z1718" s="178" t="str">
        <f t="shared" si="83"/>
        <v/>
      </c>
      <c r="AA1718" s="44"/>
      <c r="AB1718" s="65"/>
      <c r="AC1718" s="40"/>
    </row>
    <row r="1719" spans="1:29" ht="25" hidden="1">
      <c r="A1719" s="751">
        <v>61551</v>
      </c>
      <c r="B1719" s="752" t="s">
        <v>35</v>
      </c>
      <c r="C1719" s="751" t="s">
        <v>2960</v>
      </c>
      <c r="D1719" s="752" t="s">
        <v>2363</v>
      </c>
      <c r="E1719" s="752" t="s">
        <v>2363</v>
      </c>
      <c r="F1719" s="751">
        <v>61152</v>
      </c>
      <c r="G1719" s="752" t="s">
        <v>59</v>
      </c>
      <c r="H1719" s="752" t="s">
        <v>1244</v>
      </c>
      <c r="I1719" s="752" t="s">
        <v>60</v>
      </c>
      <c r="J1719" s="751">
        <v>622</v>
      </c>
      <c r="K1719" s="751">
        <v>4</v>
      </c>
      <c r="L1719" s="752" t="s">
        <v>422</v>
      </c>
      <c r="M1719" s="752" t="s">
        <v>53</v>
      </c>
      <c r="N1719" s="752" t="s">
        <v>41</v>
      </c>
      <c r="O1719" s="752" t="s">
        <v>41</v>
      </c>
      <c r="P1719" s="752" t="s">
        <v>1091</v>
      </c>
      <c r="Q1719" s="753">
        <v>0</v>
      </c>
      <c r="R1719" s="753">
        <v>0</v>
      </c>
      <c r="S1719" s="753">
        <v>0</v>
      </c>
      <c r="T1719" s="753">
        <v>0</v>
      </c>
      <c r="U1719" s="753">
        <v>0</v>
      </c>
      <c r="V1719" s="751">
        <v>2019</v>
      </c>
      <c r="W1719" s="222"/>
      <c r="X1719" s="186"/>
      <c r="Y1719" s="178" t="str">
        <f t="shared" si="82"/>
        <v/>
      </c>
      <c r="Z1719" s="178" t="str">
        <f t="shared" si="83"/>
        <v/>
      </c>
      <c r="AA1719" s="44"/>
      <c r="AB1719" s="65"/>
      <c r="AC1719" s="40"/>
    </row>
    <row r="1720" spans="1:29" hidden="1">
      <c r="A1720" s="751">
        <v>61555</v>
      </c>
      <c r="B1720" s="752" t="s">
        <v>35</v>
      </c>
      <c r="C1720" s="751" t="s">
        <v>2960</v>
      </c>
      <c r="D1720" s="752" t="s">
        <v>2995</v>
      </c>
      <c r="E1720" s="752" t="s">
        <v>2364</v>
      </c>
      <c r="F1720" s="751">
        <v>61155</v>
      </c>
      <c r="G1720" s="752" t="s">
        <v>83</v>
      </c>
      <c r="H1720" s="752" t="s">
        <v>1245</v>
      </c>
      <c r="I1720" s="752" t="s">
        <v>60</v>
      </c>
      <c r="J1720" s="751">
        <v>22</v>
      </c>
      <c r="K1720" s="751">
        <v>2</v>
      </c>
      <c r="L1720" s="752" t="s">
        <v>54</v>
      </c>
      <c r="M1720" s="752" t="s">
        <v>468</v>
      </c>
      <c r="N1720" s="752" t="s">
        <v>469</v>
      </c>
      <c r="O1720" s="752" t="s">
        <v>469</v>
      </c>
      <c r="P1720" s="752" t="s">
        <v>1238</v>
      </c>
      <c r="Q1720" s="753">
        <v>0</v>
      </c>
      <c r="R1720" s="753">
        <v>0</v>
      </c>
      <c r="S1720" s="753">
        <v>61545</v>
      </c>
      <c r="T1720" s="753">
        <v>61545</v>
      </c>
      <c r="U1720" s="753">
        <v>6912</v>
      </c>
      <c r="V1720" s="751">
        <v>2019</v>
      </c>
      <c r="W1720" s="222"/>
      <c r="X1720" s="186"/>
      <c r="Y1720" s="178" t="str">
        <f t="shared" si="82"/>
        <v/>
      </c>
      <c r="Z1720" s="178" t="str">
        <f t="shared" si="83"/>
        <v/>
      </c>
      <c r="AA1720" s="44"/>
      <c r="AB1720" s="65"/>
      <c r="AC1720" s="40"/>
    </row>
    <row r="1721" spans="1:29" hidden="1">
      <c r="A1721" s="751">
        <v>61562</v>
      </c>
      <c r="B1721" s="752" t="s">
        <v>35</v>
      </c>
      <c r="C1721" s="751" t="s">
        <v>2960</v>
      </c>
      <c r="D1721" s="752" t="s">
        <v>2365</v>
      </c>
      <c r="E1721" s="752" t="s">
        <v>1735</v>
      </c>
      <c r="F1721" s="751">
        <v>58871</v>
      </c>
      <c r="G1721" s="752" t="s">
        <v>83</v>
      </c>
      <c r="H1721" s="752" t="s">
        <v>1245</v>
      </c>
      <c r="I1721" s="752" t="s">
        <v>60</v>
      </c>
      <c r="J1721" s="751">
        <v>22</v>
      </c>
      <c r="K1721" s="751">
        <v>2</v>
      </c>
      <c r="L1721" s="752" t="s">
        <v>54</v>
      </c>
      <c r="M1721" s="752" t="s">
        <v>468</v>
      </c>
      <c r="N1721" s="752" t="s">
        <v>469</v>
      </c>
      <c r="O1721" s="752" t="s">
        <v>469</v>
      </c>
      <c r="P1721" s="752" t="s">
        <v>1238</v>
      </c>
      <c r="Q1721" s="753">
        <v>0</v>
      </c>
      <c r="R1721" s="753">
        <v>0</v>
      </c>
      <c r="S1721" s="753">
        <v>43842</v>
      </c>
      <c r="T1721" s="753">
        <v>43842</v>
      </c>
      <c r="U1721" s="753">
        <v>4924</v>
      </c>
      <c r="V1721" s="751">
        <v>2019</v>
      </c>
      <c r="W1721" s="222"/>
      <c r="X1721" s="186"/>
      <c r="Y1721" s="178" t="str">
        <f t="shared" si="82"/>
        <v/>
      </c>
      <c r="Z1721" s="178" t="str">
        <f t="shared" si="83"/>
        <v/>
      </c>
      <c r="AA1721" s="44"/>
      <c r="AB1721" s="65"/>
      <c r="AC1721" s="40"/>
    </row>
    <row r="1722" spans="1:29" ht="25" hidden="1">
      <c r="A1722" s="751">
        <v>61567</v>
      </c>
      <c r="B1722" s="752" t="s">
        <v>35</v>
      </c>
      <c r="C1722" s="751" t="s">
        <v>2960</v>
      </c>
      <c r="D1722" s="752" t="s">
        <v>2366</v>
      </c>
      <c r="E1722" s="752" t="s">
        <v>2366</v>
      </c>
      <c r="F1722" s="751">
        <v>61162</v>
      </c>
      <c r="G1722" s="752" t="s">
        <v>59</v>
      </c>
      <c r="H1722" s="752" t="s">
        <v>1244</v>
      </c>
      <c r="I1722" s="752" t="s">
        <v>60</v>
      </c>
      <c r="J1722" s="751">
        <v>622</v>
      </c>
      <c r="K1722" s="751">
        <v>4</v>
      </c>
      <c r="L1722" s="752" t="s">
        <v>422</v>
      </c>
      <c r="M1722" s="752" t="s">
        <v>53</v>
      </c>
      <c r="N1722" s="752" t="s">
        <v>48</v>
      </c>
      <c r="O1722" s="752" t="s">
        <v>48</v>
      </c>
      <c r="P1722" s="752" t="s">
        <v>49</v>
      </c>
      <c r="Q1722" s="753">
        <v>183</v>
      </c>
      <c r="R1722" s="753">
        <v>183</v>
      </c>
      <c r="S1722" s="753">
        <v>1008</v>
      </c>
      <c r="T1722" s="753">
        <v>1008</v>
      </c>
      <c r="U1722" s="753">
        <v>30</v>
      </c>
      <c r="V1722" s="751">
        <v>2019</v>
      </c>
      <c r="W1722" s="222"/>
      <c r="X1722" s="186"/>
      <c r="Y1722" s="178" t="str">
        <f t="shared" si="82"/>
        <v/>
      </c>
      <c r="Z1722" s="178" t="str">
        <f t="shared" si="83"/>
        <v/>
      </c>
      <c r="AA1722" s="44"/>
      <c r="AB1722" s="65"/>
      <c r="AC1722" s="40"/>
    </row>
    <row r="1723" spans="1:29" ht="25" hidden="1">
      <c r="A1723" s="751">
        <v>61568</v>
      </c>
      <c r="B1723" s="752" t="s">
        <v>35</v>
      </c>
      <c r="C1723" s="751" t="s">
        <v>2960</v>
      </c>
      <c r="D1723" s="752" t="s">
        <v>2511</v>
      </c>
      <c r="E1723" s="752" t="s">
        <v>2511</v>
      </c>
      <c r="F1723" s="751">
        <v>61164</v>
      </c>
      <c r="G1723" s="752" t="s">
        <v>59</v>
      </c>
      <c r="H1723" s="752" t="s">
        <v>1244</v>
      </c>
      <c r="I1723" s="752" t="s">
        <v>60</v>
      </c>
      <c r="J1723" s="751">
        <v>622</v>
      </c>
      <c r="K1723" s="751">
        <v>4</v>
      </c>
      <c r="L1723" s="752" t="s">
        <v>422</v>
      </c>
      <c r="M1723" s="752" t="s">
        <v>53</v>
      </c>
      <c r="N1723" s="752" t="s">
        <v>48</v>
      </c>
      <c r="O1723" s="752" t="s">
        <v>48</v>
      </c>
      <c r="P1723" s="752" t="s">
        <v>49</v>
      </c>
      <c r="Q1723" s="753">
        <v>43</v>
      </c>
      <c r="R1723" s="753">
        <v>43</v>
      </c>
      <c r="S1723" s="753">
        <v>237</v>
      </c>
      <c r="T1723" s="753">
        <v>237</v>
      </c>
      <c r="U1723" s="753">
        <v>9</v>
      </c>
      <c r="V1723" s="751">
        <v>2019</v>
      </c>
      <c r="W1723" s="222"/>
      <c r="X1723" s="186"/>
      <c r="Y1723" s="178" t="str">
        <f t="shared" si="82"/>
        <v/>
      </c>
      <c r="Z1723" s="178" t="str">
        <f t="shared" si="83"/>
        <v/>
      </c>
      <c r="AA1723" s="44"/>
      <c r="AB1723" s="65"/>
      <c r="AC1723" s="40"/>
    </row>
    <row r="1724" spans="1:29" ht="25" hidden="1">
      <c r="A1724" s="751">
        <v>61569</v>
      </c>
      <c r="B1724" s="752" t="s">
        <v>35</v>
      </c>
      <c r="C1724" s="751" t="s">
        <v>2960</v>
      </c>
      <c r="D1724" s="752" t="s">
        <v>2512</v>
      </c>
      <c r="E1724" s="752" t="s">
        <v>2512</v>
      </c>
      <c r="F1724" s="751">
        <v>61165</v>
      </c>
      <c r="G1724" s="752" t="s">
        <v>59</v>
      </c>
      <c r="H1724" s="752" t="s">
        <v>1244</v>
      </c>
      <c r="I1724" s="752" t="s">
        <v>60</v>
      </c>
      <c r="J1724" s="751">
        <v>622</v>
      </c>
      <c r="K1724" s="751">
        <v>4</v>
      </c>
      <c r="L1724" s="752" t="s">
        <v>422</v>
      </c>
      <c r="M1724" s="752" t="s">
        <v>53</v>
      </c>
      <c r="N1724" s="752" t="s">
        <v>48</v>
      </c>
      <c r="O1724" s="752" t="s">
        <v>48</v>
      </c>
      <c r="P1724" s="752" t="s">
        <v>49</v>
      </c>
      <c r="Q1724" s="753">
        <v>86</v>
      </c>
      <c r="R1724" s="753">
        <v>86</v>
      </c>
      <c r="S1724" s="753">
        <v>474</v>
      </c>
      <c r="T1724" s="753">
        <v>474</v>
      </c>
      <c r="U1724" s="753">
        <v>47</v>
      </c>
      <c r="V1724" s="751">
        <v>2019</v>
      </c>
      <c r="W1724" s="222"/>
      <c r="X1724" s="186"/>
      <c r="Y1724" s="178" t="str">
        <f t="shared" si="82"/>
        <v/>
      </c>
      <c r="Z1724" s="178" t="str">
        <f t="shared" si="83"/>
        <v/>
      </c>
      <c r="AA1724" s="44"/>
      <c r="AB1724" s="65"/>
      <c r="AC1724" s="40"/>
    </row>
    <row r="1725" spans="1:29" ht="25" hidden="1">
      <c r="A1725" s="751">
        <v>61569</v>
      </c>
      <c r="B1725" s="752" t="s">
        <v>35</v>
      </c>
      <c r="C1725" s="751" t="s">
        <v>2960</v>
      </c>
      <c r="D1725" s="752" t="s">
        <v>2512</v>
      </c>
      <c r="E1725" s="752" t="s">
        <v>2512</v>
      </c>
      <c r="F1725" s="751">
        <v>61165</v>
      </c>
      <c r="G1725" s="752" t="s">
        <v>59</v>
      </c>
      <c r="H1725" s="752" t="s">
        <v>1244</v>
      </c>
      <c r="I1725" s="752" t="s">
        <v>60</v>
      </c>
      <c r="J1725" s="751">
        <v>622</v>
      </c>
      <c r="K1725" s="751">
        <v>4</v>
      </c>
      <c r="L1725" s="752" t="s">
        <v>422</v>
      </c>
      <c r="M1725" s="752" t="s">
        <v>53</v>
      </c>
      <c r="N1725" s="752" t="s">
        <v>41</v>
      </c>
      <c r="O1725" s="752" t="s">
        <v>41</v>
      </c>
      <c r="P1725" s="752" t="s">
        <v>1091</v>
      </c>
      <c r="Q1725" s="753">
        <v>0</v>
      </c>
      <c r="R1725" s="753">
        <v>0</v>
      </c>
      <c r="S1725" s="753">
        <v>0</v>
      </c>
      <c r="T1725" s="753">
        <v>0</v>
      </c>
      <c r="U1725" s="753">
        <v>0</v>
      </c>
      <c r="V1725" s="751">
        <v>2019</v>
      </c>
      <c r="W1725" s="222"/>
      <c r="X1725" s="186"/>
      <c r="Y1725" s="178" t="str">
        <f t="shared" si="82"/>
        <v/>
      </c>
      <c r="Z1725" s="178" t="str">
        <f t="shared" si="83"/>
        <v/>
      </c>
      <c r="AA1725" s="44"/>
      <c r="AB1725" s="65"/>
      <c r="AC1725" s="40"/>
    </row>
    <row r="1726" spans="1:29" hidden="1">
      <c r="A1726" s="751">
        <v>61575</v>
      </c>
      <c r="B1726" s="752" t="s">
        <v>35</v>
      </c>
      <c r="C1726" s="751" t="s">
        <v>2960</v>
      </c>
      <c r="D1726" s="752" t="s">
        <v>2513</v>
      </c>
      <c r="E1726" s="752" t="s">
        <v>2340</v>
      </c>
      <c r="F1726" s="751">
        <v>61012</v>
      </c>
      <c r="G1726" s="752" t="s">
        <v>59</v>
      </c>
      <c r="H1726" s="752" t="s">
        <v>1244</v>
      </c>
      <c r="I1726" s="752" t="s">
        <v>60</v>
      </c>
      <c r="J1726" s="751">
        <v>22</v>
      </c>
      <c r="K1726" s="751">
        <v>2</v>
      </c>
      <c r="L1726" s="752" t="s">
        <v>54</v>
      </c>
      <c r="M1726" s="752" t="s">
        <v>468</v>
      </c>
      <c r="N1726" s="752" t="s">
        <v>469</v>
      </c>
      <c r="O1726" s="752" t="s">
        <v>469</v>
      </c>
      <c r="P1726" s="752" t="s">
        <v>1238</v>
      </c>
      <c r="Q1726" s="753">
        <v>0</v>
      </c>
      <c r="R1726" s="753">
        <v>0</v>
      </c>
      <c r="S1726" s="753">
        <v>22333</v>
      </c>
      <c r="T1726" s="753">
        <v>22333</v>
      </c>
      <c r="U1726" s="753">
        <v>2508</v>
      </c>
      <c r="V1726" s="751">
        <v>2019</v>
      </c>
      <c r="W1726" s="222"/>
      <c r="X1726" s="186">
        <f>IF(OR(K1726&gt;3,T1726=0,NOT(U1726&gt;0)),"",T1726/U1726)</f>
        <v>8.9047049441786292</v>
      </c>
      <c r="Y1726" s="178" t="str">
        <f t="shared" si="82"/>
        <v/>
      </c>
      <c r="Z1726" s="178" t="str">
        <f t="shared" si="83"/>
        <v/>
      </c>
      <c r="AA1726" s="44"/>
      <c r="AB1726" s="65"/>
      <c r="AC1726" s="40"/>
    </row>
    <row r="1727" spans="1:29" ht="25" hidden="1">
      <c r="A1727" s="751">
        <v>61576</v>
      </c>
      <c r="B1727" s="752" t="s">
        <v>35</v>
      </c>
      <c r="C1727" s="751" t="s">
        <v>2960</v>
      </c>
      <c r="D1727" s="752" t="s">
        <v>2514</v>
      </c>
      <c r="E1727" s="752" t="s">
        <v>2340</v>
      </c>
      <c r="F1727" s="751">
        <v>61012</v>
      </c>
      <c r="G1727" s="752" t="s">
        <v>59</v>
      </c>
      <c r="H1727" s="752" t="s">
        <v>1244</v>
      </c>
      <c r="I1727" s="752" t="s">
        <v>60</v>
      </c>
      <c r="J1727" s="751">
        <v>22</v>
      </c>
      <c r="K1727" s="751">
        <v>2</v>
      </c>
      <c r="L1727" s="752" t="s">
        <v>54</v>
      </c>
      <c r="M1727" s="752" t="s">
        <v>468</v>
      </c>
      <c r="N1727" s="752" t="s">
        <v>469</v>
      </c>
      <c r="O1727" s="752" t="s">
        <v>469</v>
      </c>
      <c r="P1727" s="752" t="s">
        <v>1238</v>
      </c>
      <c r="Q1727" s="753">
        <v>0</v>
      </c>
      <c r="R1727" s="753">
        <v>0</v>
      </c>
      <c r="S1727" s="753">
        <v>27042</v>
      </c>
      <c r="T1727" s="753">
        <v>27042</v>
      </c>
      <c r="U1727" s="753">
        <v>3037</v>
      </c>
      <c r="V1727" s="751">
        <v>2019</v>
      </c>
      <c r="W1727" s="222"/>
      <c r="X1727" s="186"/>
      <c r="Y1727" s="178" t="str">
        <f t="shared" si="82"/>
        <v/>
      </c>
      <c r="Z1727" s="178" t="str">
        <f t="shared" si="83"/>
        <v/>
      </c>
      <c r="AA1727" s="44"/>
      <c r="AB1727" s="65"/>
      <c r="AC1727" s="40"/>
    </row>
    <row r="1728" spans="1:29" ht="25" hidden="1">
      <c r="A1728" s="751">
        <v>61577</v>
      </c>
      <c r="B1728" s="752" t="s">
        <v>35</v>
      </c>
      <c r="C1728" s="751" t="s">
        <v>2960</v>
      </c>
      <c r="D1728" s="752" t="s">
        <v>2515</v>
      </c>
      <c r="E1728" s="752" t="s">
        <v>2340</v>
      </c>
      <c r="F1728" s="751">
        <v>61012</v>
      </c>
      <c r="G1728" s="752" t="s">
        <v>59</v>
      </c>
      <c r="H1728" s="752" t="s">
        <v>1244</v>
      </c>
      <c r="I1728" s="752" t="s">
        <v>60</v>
      </c>
      <c r="J1728" s="751">
        <v>22</v>
      </c>
      <c r="K1728" s="751">
        <v>2</v>
      </c>
      <c r="L1728" s="752" t="s">
        <v>54</v>
      </c>
      <c r="M1728" s="752" t="s">
        <v>468</v>
      </c>
      <c r="N1728" s="752" t="s">
        <v>469</v>
      </c>
      <c r="O1728" s="752" t="s">
        <v>469</v>
      </c>
      <c r="P1728" s="752" t="s">
        <v>1238</v>
      </c>
      <c r="Q1728" s="753">
        <v>0</v>
      </c>
      <c r="R1728" s="753">
        <v>0</v>
      </c>
      <c r="S1728" s="753">
        <v>25625</v>
      </c>
      <c r="T1728" s="753">
        <v>25625</v>
      </c>
      <c r="U1728" s="753">
        <v>2878</v>
      </c>
      <c r="V1728" s="751">
        <v>2019</v>
      </c>
      <c r="W1728" s="222"/>
      <c r="X1728" s="186"/>
      <c r="Y1728" s="178" t="str">
        <f t="shared" si="82"/>
        <v/>
      </c>
      <c r="Z1728" s="178" t="str">
        <f t="shared" si="83"/>
        <v/>
      </c>
      <c r="AA1728" s="44"/>
      <c r="AB1728" s="65"/>
      <c r="AC1728" s="40"/>
    </row>
    <row r="1729" spans="1:29" hidden="1">
      <c r="A1729" s="751">
        <v>61578</v>
      </c>
      <c r="B1729" s="752" t="s">
        <v>35</v>
      </c>
      <c r="C1729" s="751" t="s">
        <v>2960</v>
      </c>
      <c r="D1729" s="752" t="s">
        <v>2516</v>
      </c>
      <c r="E1729" s="752" t="s">
        <v>2340</v>
      </c>
      <c r="F1729" s="751">
        <v>61012</v>
      </c>
      <c r="G1729" s="752" t="s">
        <v>59</v>
      </c>
      <c r="H1729" s="752" t="s">
        <v>1244</v>
      </c>
      <c r="I1729" s="752" t="s">
        <v>60</v>
      </c>
      <c r="J1729" s="751">
        <v>22</v>
      </c>
      <c r="K1729" s="751">
        <v>2</v>
      </c>
      <c r="L1729" s="752" t="s">
        <v>54</v>
      </c>
      <c r="M1729" s="752" t="s">
        <v>468</v>
      </c>
      <c r="N1729" s="752" t="s">
        <v>469</v>
      </c>
      <c r="O1729" s="752" t="s">
        <v>469</v>
      </c>
      <c r="P1729" s="752" t="s">
        <v>1238</v>
      </c>
      <c r="Q1729" s="753">
        <v>0</v>
      </c>
      <c r="R1729" s="753">
        <v>0</v>
      </c>
      <c r="S1729" s="753">
        <v>31279</v>
      </c>
      <c r="T1729" s="753">
        <v>31279</v>
      </c>
      <c r="U1729" s="753">
        <v>3513</v>
      </c>
      <c r="V1729" s="751">
        <v>2019</v>
      </c>
      <c r="W1729" s="222"/>
      <c r="X1729" s="186"/>
      <c r="Y1729" s="178" t="str">
        <f t="shared" si="82"/>
        <v/>
      </c>
      <c r="Z1729" s="178" t="str">
        <f t="shared" si="83"/>
        <v/>
      </c>
      <c r="AA1729" s="44"/>
      <c r="AB1729" s="65"/>
      <c r="AC1729" s="40"/>
    </row>
    <row r="1730" spans="1:29" hidden="1">
      <c r="A1730" s="751">
        <v>61579</v>
      </c>
      <c r="B1730" s="752" t="s">
        <v>35</v>
      </c>
      <c r="C1730" s="751" t="s">
        <v>2960</v>
      </c>
      <c r="D1730" s="752" t="s">
        <v>2517</v>
      </c>
      <c r="E1730" s="752" t="s">
        <v>2340</v>
      </c>
      <c r="F1730" s="751">
        <v>61012</v>
      </c>
      <c r="G1730" s="752" t="s">
        <v>59</v>
      </c>
      <c r="H1730" s="752" t="s">
        <v>1244</v>
      </c>
      <c r="I1730" s="752" t="s">
        <v>60</v>
      </c>
      <c r="J1730" s="751">
        <v>22</v>
      </c>
      <c r="K1730" s="751">
        <v>2</v>
      </c>
      <c r="L1730" s="752" t="s">
        <v>54</v>
      </c>
      <c r="M1730" s="752" t="s">
        <v>468</v>
      </c>
      <c r="N1730" s="752" t="s">
        <v>469</v>
      </c>
      <c r="O1730" s="752" t="s">
        <v>469</v>
      </c>
      <c r="P1730" s="752" t="s">
        <v>1238</v>
      </c>
      <c r="Q1730" s="753">
        <v>0</v>
      </c>
      <c r="R1730" s="753">
        <v>0</v>
      </c>
      <c r="S1730" s="753">
        <v>24975</v>
      </c>
      <c r="T1730" s="753">
        <v>24975</v>
      </c>
      <c r="U1730" s="753">
        <v>2805</v>
      </c>
      <c r="V1730" s="751">
        <v>2019</v>
      </c>
      <c r="W1730" s="222"/>
      <c r="X1730" s="186"/>
      <c r="Y1730" s="178" t="str">
        <f t="shared" si="82"/>
        <v/>
      </c>
      <c r="Z1730" s="178" t="str">
        <f t="shared" si="83"/>
        <v/>
      </c>
      <c r="AA1730" s="44"/>
      <c r="AB1730" s="65"/>
      <c r="AC1730" s="40"/>
    </row>
    <row r="1731" spans="1:29" hidden="1">
      <c r="A1731" s="751">
        <v>61590</v>
      </c>
      <c r="B1731" s="752" t="s">
        <v>35</v>
      </c>
      <c r="C1731" s="751" t="s">
        <v>2960</v>
      </c>
      <c r="D1731" s="752" t="s">
        <v>2996</v>
      </c>
      <c r="E1731" s="752" t="s">
        <v>2367</v>
      </c>
      <c r="F1731" s="751">
        <v>61189</v>
      </c>
      <c r="G1731" s="752" t="s">
        <v>83</v>
      </c>
      <c r="H1731" s="752" t="s">
        <v>1245</v>
      </c>
      <c r="I1731" s="752" t="s">
        <v>60</v>
      </c>
      <c r="J1731" s="751">
        <v>22</v>
      </c>
      <c r="K1731" s="751">
        <v>2</v>
      </c>
      <c r="L1731" s="752" t="s">
        <v>54</v>
      </c>
      <c r="M1731" s="752" t="s">
        <v>468</v>
      </c>
      <c r="N1731" s="752" t="s">
        <v>469</v>
      </c>
      <c r="O1731" s="752" t="s">
        <v>469</v>
      </c>
      <c r="P1731" s="752" t="s">
        <v>1238</v>
      </c>
      <c r="Q1731" s="753">
        <v>0</v>
      </c>
      <c r="R1731" s="753">
        <v>0</v>
      </c>
      <c r="S1731" s="753">
        <v>29552</v>
      </c>
      <c r="T1731" s="753">
        <v>29552</v>
      </c>
      <c r="U1731" s="753">
        <v>3319</v>
      </c>
      <c r="V1731" s="751">
        <v>2019</v>
      </c>
      <c r="W1731" s="222"/>
      <c r="X1731" s="186"/>
      <c r="Y1731" s="178" t="str">
        <f t="shared" si="82"/>
        <v/>
      </c>
      <c r="Z1731" s="178" t="str">
        <f t="shared" si="83"/>
        <v/>
      </c>
      <c r="AA1731" s="44"/>
      <c r="AB1731" s="65"/>
      <c r="AC1731" s="40"/>
    </row>
    <row r="1732" spans="1:29" ht="25" hidden="1">
      <c r="A1732" s="751">
        <v>61591</v>
      </c>
      <c r="B1732" s="752" t="s">
        <v>35</v>
      </c>
      <c r="C1732" s="751" t="s">
        <v>2960</v>
      </c>
      <c r="D1732" s="752" t="s">
        <v>2368</v>
      </c>
      <c r="E1732" s="752" t="s">
        <v>2369</v>
      </c>
      <c r="F1732" s="751">
        <v>61190</v>
      </c>
      <c r="G1732" s="752" t="s">
        <v>83</v>
      </c>
      <c r="H1732" s="752" t="s">
        <v>1245</v>
      </c>
      <c r="I1732" s="752" t="s">
        <v>60</v>
      </c>
      <c r="J1732" s="751">
        <v>22</v>
      </c>
      <c r="K1732" s="751">
        <v>2</v>
      </c>
      <c r="L1732" s="752" t="s">
        <v>54</v>
      </c>
      <c r="M1732" s="752" t="s">
        <v>468</v>
      </c>
      <c r="N1732" s="752" t="s">
        <v>469</v>
      </c>
      <c r="O1732" s="752" t="s">
        <v>469</v>
      </c>
      <c r="P1732" s="752" t="s">
        <v>1238</v>
      </c>
      <c r="Q1732" s="753">
        <v>0</v>
      </c>
      <c r="R1732" s="753">
        <v>0</v>
      </c>
      <c r="S1732" s="753">
        <v>17817</v>
      </c>
      <c r="T1732" s="753">
        <v>17817</v>
      </c>
      <c r="U1732" s="753">
        <v>2001</v>
      </c>
      <c r="V1732" s="751">
        <v>2019</v>
      </c>
      <c r="W1732" s="222"/>
      <c r="X1732" s="186"/>
      <c r="Y1732" s="178" t="str">
        <f t="shared" si="82"/>
        <v/>
      </c>
      <c r="Z1732" s="178" t="str">
        <f t="shared" si="83"/>
        <v/>
      </c>
      <c r="AA1732" s="44"/>
      <c r="AB1732" s="65"/>
      <c r="AC1732" s="40"/>
    </row>
    <row r="1733" spans="1:29" hidden="1">
      <c r="A1733" s="751">
        <v>61596</v>
      </c>
      <c r="B1733" s="752" t="s">
        <v>35</v>
      </c>
      <c r="C1733" s="751" t="s">
        <v>2960</v>
      </c>
      <c r="D1733" s="752" t="s">
        <v>2370</v>
      </c>
      <c r="E1733" s="752" t="s">
        <v>1735</v>
      </c>
      <c r="F1733" s="751">
        <v>58871</v>
      </c>
      <c r="G1733" s="752" t="s">
        <v>83</v>
      </c>
      <c r="H1733" s="752" t="s">
        <v>1245</v>
      </c>
      <c r="I1733" s="752" t="s">
        <v>60</v>
      </c>
      <c r="J1733" s="751">
        <v>22</v>
      </c>
      <c r="K1733" s="751">
        <v>2</v>
      </c>
      <c r="L1733" s="752" t="s">
        <v>54</v>
      </c>
      <c r="M1733" s="752" t="s">
        <v>468</v>
      </c>
      <c r="N1733" s="752" t="s">
        <v>469</v>
      </c>
      <c r="O1733" s="752" t="s">
        <v>469</v>
      </c>
      <c r="P1733" s="752" t="s">
        <v>1238</v>
      </c>
      <c r="Q1733" s="753">
        <v>0</v>
      </c>
      <c r="R1733" s="753">
        <v>0</v>
      </c>
      <c r="S1733" s="753">
        <v>26419</v>
      </c>
      <c r="T1733" s="753">
        <v>26419</v>
      </c>
      <c r="U1733" s="753">
        <v>2967</v>
      </c>
      <c r="V1733" s="751">
        <v>2019</v>
      </c>
      <c r="W1733" s="222"/>
      <c r="X1733" s="186"/>
      <c r="Y1733" s="178" t="str">
        <f t="shared" si="82"/>
        <v/>
      </c>
      <c r="Z1733" s="178" t="str">
        <f t="shared" si="83"/>
        <v/>
      </c>
      <c r="AA1733" s="44"/>
      <c r="AB1733" s="65"/>
      <c r="AC1733" s="40"/>
    </row>
    <row r="1734" spans="1:29" hidden="1">
      <c r="A1734" s="751">
        <v>61597</v>
      </c>
      <c r="B1734" s="752" t="s">
        <v>35</v>
      </c>
      <c r="C1734" s="751" t="s">
        <v>2960</v>
      </c>
      <c r="D1734" s="752" t="s">
        <v>2371</v>
      </c>
      <c r="E1734" s="752" t="s">
        <v>1735</v>
      </c>
      <c r="F1734" s="751">
        <v>58871</v>
      </c>
      <c r="G1734" s="752" t="s">
        <v>83</v>
      </c>
      <c r="H1734" s="752" t="s">
        <v>1245</v>
      </c>
      <c r="I1734" s="752" t="s">
        <v>60</v>
      </c>
      <c r="J1734" s="751">
        <v>22</v>
      </c>
      <c r="K1734" s="751">
        <v>2</v>
      </c>
      <c r="L1734" s="752" t="s">
        <v>54</v>
      </c>
      <c r="M1734" s="752" t="s">
        <v>468</v>
      </c>
      <c r="N1734" s="752" t="s">
        <v>469</v>
      </c>
      <c r="O1734" s="752" t="s">
        <v>469</v>
      </c>
      <c r="P1734" s="752" t="s">
        <v>1238</v>
      </c>
      <c r="Q1734" s="753">
        <v>0</v>
      </c>
      <c r="R1734" s="753">
        <v>0</v>
      </c>
      <c r="S1734" s="753">
        <v>22519</v>
      </c>
      <c r="T1734" s="753">
        <v>22519</v>
      </c>
      <c r="U1734" s="753">
        <v>2529</v>
      </c>
      <c r="V1734" s="751">
        <v>2019</v>
      </c>
      <c r="W1734" s="222"/>
      <c r="X1734" s="186"/>
      <c r="Y1734" s="178" t="str">
        <f t="shared" si="82"/>
        <v/>
      </c>
      <c r="Z1734" s="178" t="str">
        <f t="shared" si="83"/>
        <v/>
      </c>
      <c r="AA1734" s="44"/>
      <c r="AB1734" s="65"/>
      <c r="AC1734" s="40"/>
    </row>
    <row r="1735" spans="1:29" hidden="1">
      <c r="A1735" s="751">
        <v>61598</v>
      </c>
      <c r="B1735" s="752" t="s">
        <v>35</v>
      </c>
      <c r="C1735" s="751" t="s">
        <v>2960</v>
      </c>
      <c r="D1735" s="752" t="s">
        <v>2372</v>
      </c>
      <c r="E1735" s="752" t="s">
        <v>1735</v>
      </c>
      <c r="F1735" s="751">
        <v>58871</v>
      </c>
      <c r="G1735" s="752" t="s">
        <v>83</v>
      </c>
      <c r="H1735" s="752" t="s">
        <v>1245</v>
      </c>
      <c r="I1735" s="752" t="s">
        <v>60</v>
      </c>
      <c r="J1735" s="751">
        <v>22</v>
      </c>
      <c r="K1735" s="751">
        <v>2</v>
      </c>
      <c r="L1735" s="752" t="s">
        <v>54</v>
      </c>
      <c r="M1735" s="752" t="s">
        <v>468</v>
      </c>
      <c r="N1735" s="752" t="s">
        <v>469</v>
      </c>
      <c r="O1735" s="752" t="s">
        <v>469</v>
      </c>
      <c r="P1735" s="752" t="s">
        <v>1238</v>
      </c>
      <c r="Q1735" s="753">
        <v>0</v>
      </c>
      <c r="R1735" s="753">
        <v>0</v>
      </c>
      <c r="S1735" s="753">
        <v>38688</v>
      </c>
      <c r="T1735" s="753">
        <v>38688</v>
      </c>
      <c r="U1735" s="753">
        <v>4345</v>
      </c>
      <c r="V1735" s="751">
        <v>2019</v>
      </c>
      <c r="W1735" s="222"/>
      <c r="X1735" s="186"/>
      <c r="Y1735" s="178" t="str">
        <f t="shared" ref="Y1735:Y1798" si="84">IF(AND($M1735=$Y$2,$N1735=$Y$3,NOT($Q1735=$R1735),NOT($U1735=0)),IF($K1735=5,$S1735/($U1735+(8/5)*$U1735),IF($K1735=7,$S1735/($U1735+(29/25)*$U1735),"")),"")</f>
        <v/>
      </c>
      <c r="Z1735" s="178" t="str">
        <f t="shared" ref="Z1735:Z1798" si="85">IF(AND($M1735=$Y$2,$N1735=$Y$4,NOT($Q1735=$R1735),NOT($U1735=0)),IF($K1735=5,$S1735/($U1735+(8/5)*$U1735),IF($K1735=7,$S1735/($U1735+(29/25)*$U1735),"")),"")</f>
        <v/>
      </c>
      <c r="AA1735" s="44"/>
      <c r="AB1735" s="65"/>
      <c r="AC1735" s="40"/>
    </row>
    <row r="1736" spans="1:29" ht="25" hidden="1">
      <c r="A1736" s="751">
        <v>61602</v>
      </c>
      <c r="B1736" s="752" t="s">
        <v>35</v>
      </c>
      <c r="C1736" s="751" t="s">
        <v>2960</v>
      </c>
      <c r="D1736" s="752" t="s">
        <v>2373</v>
      </c>
      <c r="E1736" s="752" t="s">
        <v>1189</v>
      </c>
      <c r="F1736" s="751">
        <v>56769</v>
      </c>
      <c r="G1736" s="752" t="s">
        <v>83</v>
      </c>
      <c r="H1736" s="752" t="s">
        <v>1245</v>
      </c>
      <c r="I1736" s="752" t="s">
        <v>60</v>
      </c>
      <c r="J1736" s="751">
        <v>22</v>
      </c>
      <c r="K1736" s="751">
        <v>2</v>
      </c>
      <c r="L1736" s="752" t="s">
        <v>54</v>
      </c>
      <c r="M1736" s="752" t="s">
        <v>468</v>
      </c>
      <c r="N1736" s="752" t="s">
        <v>469</v>
      </c>
      <c r="O1736" s="752" t="s">
        <v>469</v>
      </c>
      <c r="P1736" s="752" t="s">
        <v>1238</v>
      </c>
      <c r="Q1736" s="753">
        <v>0</v>
      </c>
      <c r="R1736" s="753">
        <v>0</v>
      </c>
      <c r="S1736" s="753">
        <v>44156</v>
      </c>
      <c r="T1736" s="753">
        <v>44156</v>
      </c>
      <c r="U1736" s="753">
        <v>4959</v>
      </c>
      <c r="V1736" s="751">
        <v>2019</v>
      </c>
      <c r="W1736" s="222"/>
      <c r="X1736" s="186"/>
      <c r="Y1736" s="178" t="str">
        <f t="shared" si="84"/>
        <v/>
      </c>
      <c r="Z1736" s="178" t="str">
        <f t="shared" si="85"/>
        <v/>
      </c>
      <c r="AA1736" s="44"/>
      <c r="AB1736" s="65"/>
      <c r="AC1736" s="40"/>
    </row>
    <row r="1737" spans="1:29" ht="25" hidden="1">
      <c r="A1737" s="751">
        <v>61603</v>
      </c>
      <c r="B1737" s="752" t="s">
        <v>35</v>
      </c>
      <c r="C1737" s="751" t="s">
        <v>2960</v>
      </c>
      <c r="D1737" s="752" t="s">
        <v>2374</v>
      </c>
      <c r="E1737" s="752" t="s">
        <v>1189</v>
      </c>
      <c r="F1737" s="751">
        <v>56769</v>
      </c>
      <c r="G1737" s="752" t="s">
        <v>83</v>
      </c>
      <c r="H1737" s="752" t="s">
        <v>1245</v>
      </c>
      <c r="I1737" s="752" t="s">
        <v>60</v>
      </c>
      <c r="J1737" s="751">
        <v>22</v>
      </c>
      <c r="K1737" s="751">
        <v>2</v>
      </c>
      <c r="L1737" s="752" t="s">
        <v>54</v>
      </c>
      <c r="M1737" s="752" t="s">
        <v>468</v>
      </c>
      <c r="N1737" s="752" t="s">
        <v>469</v>
      </c>
      <c r="O1737" s="752" t="s">
        <v>469</v>
      </c>
      <c r="P1737" s="752" t="s">
        <v>1238</v>
      </c>
      <c r="Q1737" s="753">
        <v>0</v>
      </c>
      <c r="R1737" s="753">
        <v>0</v>
      </c>
      <c r="S1737" s="753">
        <v>49424</v>
      </c>
      <c r="T1737" s="753">
        <v>49424</v>
      </c>
      <c r="U1737" s="753">
        <v>5551</v>
      </c>
      <c r="V1737" s="751">
        <v>2019</v>
      </c>
      <c r="W1737" s="222"/>
      <c r="X1737" s="186"/>
      <c r="Y1737" s="178" t="str">
        <f t="shared" si="84"/>
        <v/>
      </c>
      <c r="Z1737" s="178" t="str">
        <f t="shared" si="85"/>
        <v/>
      </c>
      <c r="AA1737" s="44"/>
      <c r="AB1737" s="65"/>
      <c r="AC1737" s="40"/>
    </row>
    <row r="1738" spans="1:29" hidden="1">
      <c r="A1738" s="751">
        <v>61604</v>
      </c>
      <c r="B1738" s="752" t="s">
        <v>35</v>
      </c>
      <c r="C1738" s="751" t="s">
        <v>2960</v>
      </c>
      <c r="D1738" s="752" t="s">
        <v>2375</v>
      </c>
      <c r="E1738" s="752" t="s">
        <v>2154</v>
      </c>
      <c r="F1738" s="751">
        <v>60571</v>
      </c>
      <c r="G1738" s="752" t="s">
        <v>59</v>
      </c>
      <c r="H1738" s="752" t="s">
        <v>1244</v>
      </c>
      <c r="I1738" s="752" t="s">
        <v>60</v>
      </c>
      <c r="J1738" s="751">
        <v>22</v>
      </c>
      <c r="K1738" s="751">
        <v>2</v>
      </c>
      <c r="L1738" s="752" t="s">
        <v>54</v>
      </c>
      <c r="M1738" s="752" t="s">
        <v>468</v>
      </c>
      <c r="N1738" s="752" t="s">
        <v>469</v>
      </c>
      <c r="O1738" s="752" t="s">
        <v>469</v>
      </c>
      <c r="P1738" s="752" t="s">
        <v>1238</v>
      </c>
      <c r="Q1738" s="753">
        <v>0</v>
      </c>
      <c r="R1738" s="753">
        <v>0</v>
      </c>
      <c r="S1738" s="753">
        <v>20079</v>
      </c>
      <c r="T1738" s="753">
        <v>20079</v>
      </c>
      <c r="U1738" s="753">
        <v>2255</v>
      </c>
      <c r="V1738" s="751">
        <v>2019</v>
      </c>
      <c r="W1738" s="222"/>
      <c r="X1738" s="186"/>
      <c r="Y1738" s="178" t="str">
        <f t="shared" si="84"/>
        <v/>
      </c>
      <c r="Z1738" s="178" t="str">
        <f t="shared" si="85"/>
        <v/>
      </c>
      <c r="AA1738" s="44"/>
      <c r="AB1738" s="65"/>
      <c r="AC1738" s="40"/>
    </row>
    <row r="1739" spans="1:29" ht="25" hidden="1">
      <c r="A1739" s="751">
        <v>61612</v>
      </c>
      <c r="B1739" s="752" t="s">
        <v>35</v>
      </c>
      <c r="C1739" s="751" t="s">
        <v>2960</v>
      </c>
      <c r="D1739" s="752" t="s">
        <v>2376</v>
      </c>
      <c r="E1739" s="752" t="s">
        <v>2377</v>
      </c>
      <c r="F1739" s="751">
        <v>61216</v>
      </c>
      <c r="G1739" s="752" t="s">
        <v>136</v>
      </c>
      <c r="H1739" s="752" t="s">
        <v>1245</v>
      </c>
      <c r="I1739" s="752" t="s">
        <v>60</v>
      </c>
      <c r="J1739" s="751">
        <v>22</v>
      </c>
      <c r="K1739" s="751">
        <v>2</v>
      </c>
      <c r="L1739" s="752" t="s">
        <v>54</v>
      </c>
      <c r="M1739" s="752" t="s">
        <v>468</v>
      </c>
      <c r="N1739" s="752" t="s">
        <v>469</v>
      </c>
      <c r="O1739" s="752" t="s">
        <v>469</v>
      </c>
      <c r="P1739" s="752" t="s">
        <v>1238</v>
      </c>
      <c r="Q1739" s="753">
        <v>0</v>
      </c>
      <c r="R1739" s="753">
        <v>0</v>
      </c>
      <c r="S1739" s="753">
        <v>17203</v>
      </c>
      <c r="T1739" s="753">
        <v>17203</v>
      </c>
      <c r="U1739" s="753">
        <v>1932</v>
      </c>
      <c r="V1739" s="751">
        <v>2019</v>
      </c>
      <c r="W1739" s="222"/>
      <c r="X1739" s="186"/>
      <c r="Y1739" s="178" t="str">
        <f t="shared" si="84"/>
        <v/>
      </c>
      <c r="Z1739" s="178" t="str">
        <f t="shared" si="85"/>
        <v/>
      </c>
      <c r="AA1739" s="44"/>
      <c r="AB1739" s="65"/>
      <c r="AC1739" s="40"/>
    </row>
    <row r="1740" spans="1:29" hidden="1">
      <c r="A1740" s="751">
        <v>61613</v>
      </c>
      <c r="B1740" s="752" t="s">
        <v>35</v>
      </c>
      <c r="C1740" s="751" t="s">
        <v>2960</v>
      </c>
      <c r="D1740" s="752" t="s">
        <v>2378</v>
      </c>
      <c r="E1740" s="752" t="s">
        <v>2379</v>
      </c>
      <c r="F1740" s="751">
        <v>61217</v>
      </c>
      <c r="G1740" s="752" t="s">
        <v>136</v>
      </c>
      <c r="H1740" s="752" t="s">
        <v>1245</v>
      </c>
      <c r="I1740" s="752" t="s">
        <v>60</v>
      </c>
      <c r="J1740" s="751">
        <v>22</v>
      </c>
      <c r="K1740" s="751">
        <v>2</v>
      </c>
      <c r="L1740" s="752" t="s">
        <v>54</v>
      </c>
      <c r="M1740" s="752" t="s">
        <v>468</v>
      </c>
      <c r="N1740" s="752" t="s">
        <v>469</v>
      </c>
      <c r="O1740" s="752" t="s">
        <v>469</v>
      </c>
      <c r="P1740" s="752" t="s">
        <v>1238</v>
      </c>
      <c r="Q1740" s="753">
        <v>0</v>
      </c>
      <c r="R1740" s="753">
        <v>0</v>
      </c>
      <c r="S1740" s="753">
        <v>28198</v>
      </c>
      <c r="T1740" s="753">
        <v>28198</v>
      </c>
      <c r="U1740" s="753">
        <v>3167</v>
      </c>
      <c r="V1740" s="751">
        <v>2019</v>
      </c>
      <c r="W1740" s="222"/>
      <c r="X1740" s="186"/>
      <c r="Y1740" s="178" t="str">
        <f t="shared" si="84"/>
        <v/>
      </c>
      <c r="Z1740" s="178" t="str">
        <f t="shared" si="85"/>
        <v/>
      </c>
      <c r="AA1740" s="44"/>
      <c r="AB1740" s="65"/>
      <c r="AC1740" s="40"/>
    </row>
    <row r="1741" spans="1:29" ht="25" hidden="1">
      <c r="A1741" s="751">
        <v>61622</v>
      </c>
      <c r="B1741" s="752" t="s">
        <v>35</v>
      </c>
      <c r="C1741" s="751" t="s">
        <v>2960</v>
      </c>
      <c r="D1741" s="752" t="s">
        <v>2380</v>
      </c>
      <c r="E1741" s="752" t="s">
        <v>2377</v>
      </c>
      <c r="F1741" s="751">
        <v>61216</v>
      </c>
      <c r="G1741" s="752" t="s">
        <v>136</v>
      </c>
      <c r="H1741" s="752" t="s">
        <v>1245</v>
      </c>
      <c r="I1741" s="752" t="s">
        <v>60</v>
      </c>
      <c r="J1741" s="751">
        <v>22</v>
      </c>
      <c r="K1741" s="751">
        <v>2</v>
      </c>
      <c r="L1741" s="752" t="s">
        <v>54</v>
      </c>
      <c r="M1741" s="752" t="s">
        <v>468</v>
      </c>
      <c r="N1741" s="752" t="s">
        <v>469</v>
      </c>
      <c r="O1741" s="752" t="s">
        <v>469</v>
      </c>
      <c r="P1741" s="752" t="s">
        <v>1238</v>
      </c>
      <c r="Q1741" s="753">
        <v>0</v>
      </c>
      <c r="R1741" s="753">
        <v>0</v>
      </c>
      <c r="S1741" s="753">
        <v>40666</v>
      </c>
      <c r="T1741" s="753">
        <v>40666</v>
      </c>
      <c r="U1741" s="753">
        <v>4567</v>
      </c>
      <c r="V1741" s="751">
        <v>2019</v>
      </c>
      <c r="W1741" s="222"/>
      <c r="X1741" s="186"/>
      <c r="Y1741" s="178" t="str">
        <f t="shared" si="84"/>
        <v/>
      </c>
      <c r="Z1741" s="178" t="str">
        <f t="shared" si="85"/>
        <v/>
      </c>
      <c r="AA1741" s="44"/>
      <c r="AB1741" s="65"/>
      <c r="AC1741" s="40"/>
    </row>
    <row r="1742" spans="1:29" ht="25" hidden="1">
      <c r="A1742" s="751">
        <v>61629</v>
      </c>
      <c r="B1742" s="752" t="s">
        <v>35</v>
      </c>
      <c r="C1742" s="751" t="s">
        <v>2960</v>
      </c>
      <c r="D1742" s="752" t="s">
        <v>2518</v>
      </c>
      <c r="E1742" s="752" t="s">
        <v>2381</v>
      </c>
      <c r="F1742" s="751">
        <v>61227</v>
      </c>
      <c r="G1742" s="752" t="s">
        <v>83</v>
      </c>
      <c r="H1742" s="752" t="s">
        <v>1245</v>
      </c>
      <c r="I1742" s="752" t="s">
        <v>60</v>
      </c>
      <c r="J1742" s="751">
        <v>22</v>
      </c>
      <c r="K1742" s="751">
        <v>2</v>
      </c>
      <c r="L1742" s="752" t="s">
        <v>54</v>
      </c>
      <c r="M1742" s="752" t="s">
        <v>468</v>
      </c>
      <c r="N1742" s="752" t="s">
        <v>469</v>
      </c>
      <c r="O1742" s="752" t="s">
        <v>469</v>
      </c>
      <c r="P1742" s="752" t="s">
        <v>1238</v>
      </c>
      <c r="Q1742" s="753">
        <v>0</v>
      </c>
      <c r="R1742" s="753">
        <v>0</v>
      </c>
      <c r="S1742" s="753">
        <v>49843</v>
      </c>
      <c r="T1742" s="753">
        <v>49843</v>
      </c>
      <c r="U1742" s="753">
        <v>5598</v>
      </c>
      <c r="V1742" s="751">
        <v>2019</v>
      </c>
      <c r="W1742" s="222"/>
      <c r="X1742" s="186"/>
      <c r="Y1742" s="178" t="str">
        <f t="shared" si="84"/>
        <v/>
      </c>
      <c r="Z1742" s="178" t="str">
        <f t="shared" si="85"/>
        <v/>
      </c>
      <c r="AA1742" s="44"/>
      <c r="AB1742" s="65"/>
      <c r="AC1742" s="40"/>
    </row>
    <row r="1743" spans="1:29" hidden="1">
      <c r="A1743" s="751">
        <v>61633</v>
      </c>
      <c r="B1743" s="752" t="s">
        <v>35</v>
      </c>
      <c r="C1743" s="751" t="s">
        <v>2960</v>
      </c>
      <c r="D1743" s="752" t="s">
        <v>2997</v>
      </c>
      <c r="E1743" s="752" t="s">
        <v>2382</v>
      </c>
      <c r="F1743" s="751">
        <v>61233</v>
      </c>
      <c r="G1743" s="752" t="s">
        <v>83</v>
      </c>
      <c r="H1743" s="752" t="s">
        <v>1245</v>
      </c>
      <c r="I1743" s="752" t="s">
        <v>60</v>
      </c>
      <c r="J1743" s="751">
        <v>22</v>
      </c>
      <c r="K1743" s="751">
        <v>2</v>
      </c>
      <c r="L1743" s="752" t="s">
        <v>54</v>
      </c>
      <c r="M1743" s="752" t="s">
        <v>468</v>
      </c>
      <c r="N1743" s="752" t="s">
        <v>469</v>
      </c>
      <c r="O1743" s="752" t="s">
        <v>469</v>
      </c>
      <c r="P1743" s="752" t="s">
        <v>1238</v>
      </c>
      <c r="Q1743" s="753">
        <v>0</v>
      </c>
      <c r="R1743" s="753">
        <v>0</v>
      </c>
      <c r="S1743" s="753">
        <v>12465</v>
      </c>
      <c r="T1743" s="753">
        <v>12465</v>
      </c>
      <c r="U1743" s="753">
        <v>1400</v>
      </c>
      <c r="V1743" s="751">
        <v>2019</v>
      </c>
      <c r="W1743" s="222"/>
      <c r="X1743" s="186"/>
      <c r="Y1743" s="178" t="str">
        <f t="shared" si="84"/>
        <v/>
      </c>
      <c r="Z1743" s="178" t="str">
        <f t="shared" si="85"/>
        <v/>
      </c>
      <c r="AA1743" s="44"/>
      <c r="AB1743" s="65"/>
      <c r="AC1743" s="40"/>
    </row>
    <row r="1744" spans="1:29" hidden="1">
      <c r="A1744" s="751">
        <v>61634</v>
      </c>
      <c r="B1744" s="752" t="s">
        <v>35</v>
      </c>
      <c r="C1744" s="751" t="s">
        <v>2960</v>
      </c>
      <c r="D1744" s="752" t="s">
        <v>2998</v>
      </c>
      <c r="E1744" s="752" t="s">
        <v>2383</v>
      </c>
      <c r="F1744" s="751">
        <v>61234</v>
      </c>
      <c r="G1744" s="752" t="s">
        <v>83</v>
      </c>
      <c r="H1744" s="752" t="s">
        <v>1245</v>
      </c>
      <c r="I1744" s="752" t="s">
        <v>60</v>
      </c>
      <c r="J1744" s="751">
        <v>22</v>
      </c>
      <c r="K1744" s="751">
        <v>2</v>
      </c>
      <c r="L1744" s="752" t="s">
        <v>54</v>
      </c>
      <c r="M1744" s="752" t="s">
        <v>468</v>
      </c>
      <c r="N1744" s="752" t="s">
        <v>469</v>
      </c>
      <c r="O1744" s="752" t="s">
        <v>469</v>
      </c>
      <c r="P1744" s="752" t="s">
        <v>1238</v>
      </c>
      <c r="Q1744" s="753">
        <v>0</v>
      </c>
      <c r="R1744" s="753">
        <v>0</v>
      </c>
      <c r="S1744" s="753">
        <v>44857</v>
      </c>
      <c r="T1744" s="753">
        <v>44857</v>
      </c>
      <c r="U1744" s="753">
        <v>5038</v>
      </c>
      <c r="V1744" s="751">
        <v>2019</v>
      </c>
      <c r="W1744" s="222"/>
      <c r="X1744" s="186"/>
      <c r="Y1744" s="178" t="str">
        <f t="shared" si="84"/>
        <v/>
      </c>
      <c r="Z1744" s="178" t="str">
        <f t="shared" si="85"/>
        <v/>
      </c>
      <c r="AA1744" s="44"/>
      <c r="AB1744" s="65"/>
      <c r="AC1744" s="40"/>
    </row>
    <row r="1745" spans="1:29" hidden="1">
      <c r="A1745" s="751">
        <v>61635</v>
      </c>
      <c r="B1745" s="752" t="s">
        <v>35</v>
      </c>
      <c r="C1745" s="751" t="s">
        <v>2960</v>
      </c>
      <c r="D1745" s="752" t="s">
        <v>2999</v>
      </c>
      <c r="E1745" s="752" t="s">
        <v>2384</v>
      </c>
      <c r="F1745" s="751">
        <v>61231</v>
      </c>
      <c r="G1745" s="752" t="s">
        <v>83</v>
      </c>
      <c r="H1745" s="752" t="s">
        <v>1245</v>
      </c>
      <c r="I1745" s="752" t="s">
        <v>60</v>
      </c>
      <c r="J1745" s="751">
        <v>22</v>
      </c>
      <c r="K1745" s="751">
        <v>2</v>
      </c>
      <c r="L1745" s="752" t="s">
        <v>54</v>
      </c>
      <c r="M1745" s="752" t="s">
        <v>468</v>
      </c>
      <c r="N1745" s="752" t="s">
        <v>469</v>
      </c>
      <c r="O1745" s="752" t="s">
        <v>469</v>
      </c>
      <c r="P1745" s="752" t="s">
        <v>1238</v>
      </c>
      <c r="Q1745" s="753">
        <v>0</v>
      </c>
      <c r="R1745" s="753">
        <v>0</v>
      </c>
      <c r="S1745" s="753">
        <v>26542</v>
      </c>
      <c r="T1745" s="753">
        <v>26542</v>
      </c>
      <c r="U1745" s="753">
        <v>2981</v>
      </c>
      <c r="V1745" s="751">
        <v>2019</v>
      </c>
      <c r="W1745" s="222"/>
      <c r="X1745" s="186"/>
      <c r="Y1745" s="178" t="str">
        <f t="shared" si="84"/>
        <v/>
      </c>
      <c r="Z1745" s="178" t="str">
        <f t="shared" si="85"/>
        <v/>
      </c>
      <c r="AA1745" s="44"/>
      <c r="AB1745" s="65"/>
      <c r="AC1745" s="40"/>
    </row>
    <row r="1746" spans="1:29" hidden="1">
      <c r="A1746" s="751">
        <v>61636</v>
      </c>
      <c r="B1746" s="752" t="s">
        <v>35</v>
      </c>
      <c r="C1746" s="751" t="s">
        <v>2960</v>
      </c>
      <c r="D1746" s="752" t="s">
        <v>3000</v>
      </c>
      <c r="E1746" s="752" t="s">
        <v>2385</v>
      </c>
      <c r="F1746" s="751">
        <v>61232</v>
      </c>
      <c r="G1746" s="752" t="s">
        <v>83</v>
      </c>
      <c r="H1746" s="752" t="s">
        <v>1245</v>
      </c>
      <c r="I1746" s="752" t="s">
        <v>60</v>
      </c>
      <c r="J1746" s="751">
        <v>22</v>
      </c>
      <c r="K1746" s="751">
        <v>2</v>
      </c>
      <c r="L1746" s="752" t="s">
        <v>54</v>
      </c>
      <c r="M1746" s="752" t="s">
        <v>468</v>
      </c>
      <c r="N1746" s="752" t="s">
        <v>469</v>
      </c>
      <c r="O1746" s="752" t="s">
        <v>469</v>
      </c>
      <c r="P1746" s="752" t="s">
        <v>1238</v>
      </c>
      <c r="Q1746" s="753">
        <v>0</v>
      </c>
      <c r="R1746" s="753">
        <v>0</v>
      </c>
      <c r="S1746" s="753">
        <v>62808</v>
      </c>
      <c r="T1746" s="753">
        <v>62808</v>
      </c>
      <c r="U1746" s="753">
        <v>7054</v>
      </c>
      <c r="V1746" s="751">
        <v>2019</v>
      </c>
      <c r="W1746" s="222"/>
      <c r="X1746" s="186"/>
      <c r="Y1746" s="178" t="str">
        <f t="shared" si="84"/>
        <v/>
      </c>
      <c r="Z1746" s="178" t="str">
        <f t="shared" si="85"/>
        <v/>
      </c>
      <c r="AA1746" s="44"/>
      <c r="AB1746" s="65"/>
      <c r="AC1746" s="40"/>
    </row>
    <row r="1747" spans="1:29" hidden="1">
      <c r="A1747" s="751">
        <v>61640</v>
      </c>
      <c r="B1747" s="752" t="s">
        <v>35</v>
      </c>
      <c r="C1747" s="751" t="s">
        <v>2960</v>
      </c>
      <c r="D1747" s="752" t="s">
        <v>2386</v>
      </c>
      <c r="E1747" s="752" t="s">
        <v>2387</v>
      </c>
      <c r="F1747" s="751">
        <v>61253</v>
      </c>
      <c r="G1747" s="752" t="s">
        <v>83</v>
      </c>
      <c r="H1747" s="752" t="s">
        <v>1245</v>
      </c>
      <c r="I1747" s="752" t="s">
        <v>60</v>
      </c>
      <c r="J1747" s="751">
        <v>22</v>
      </c>
      <c r="K1747" s="751">
        <v>2</v>
      </c>
      <c r="L1747" s="752" t="s">
        <v>54</v>
      </c>
      <c r="M1747" s="752" t="s">
        <v>37</v>
      </c>
      <c r="N1747" s="752" t="s">
        <v>38</v>
      </c>
      <c r="O1747" s="752" t="s">
        <v>39</v>
      </c>
      <c r="P1747" s="752" t="s">
        <v>1238</v>
      </c>
      <c r="Q1747" s="753">
        <v>0</v>
      </c>
      <c r="R1747" s="753">
        <v>0</v>
      </c>
      <c r="S1747" s="753">
        <v>47725</v>
      </c>
      <c r="T1747" s="753">
        <v>47725</v>
      </c>
      <c r="U1747" s="753">
        <v>5360</v>
      </c>
      <c r="V1747" s="751">
        <v>2019</v>
      </c>
      <c r="W1747" s="222"/>
      <c r="X1747" s="186"/>
      <c r="Y1747" s="178" t="str">
        <f t="shared" si="84"/>
        <v/>
      </c>
      <c r="Z1747" s="178" t="str">
        <f t="shared" si="85"/>
        <v/>
      </c>
      <c r="AA1747" s="44"/>
      <c r="AB1747" s="65"/>
      <c r="AC1747" s="40"/>
    </row>
    <row r="1748" spans="1:29" hidden="1">
      <c r="A1748" s="751">
        <v>61641</v>
      </c>
      <c r="B1748" s="752" t="s">
        <v>35</v>
      </c>
      <c r="C1748" s="751" t="s">
        <v>2960</v>
      </c>
      <c r="D1748" s="752" t="s">
        <v>2388</v>
      </c>
      <c r="E1748" s="752" t="s">
        <v>2389</v>
      </c>
      <c r="F1748" s="751">
        <v>61252</v>
      </c>
      <c r="G1748" s="752" t="s">
        <v>59</v>
      </c>
      <c r="H1748" s="752" t="s">
        <v>1244</v>
      </c>
      <c r="I1748" s="752" t="s">
        <v>60</v>
      </c>
      <c r="J1748" s="751">
        <v>22</v>
      </c>
      <c r="K1748" s="751">
        <v>2</v>
      </c>
      <c r="L1748" s="752" t="s">
        <v>54</v>
      </c>
      <c r="M1748" s="752" t="s">
        <v>37</v>
      </c>
      <c r="N1748" s="752" t="s">
        <v>38</v>
      </c>
      <c r="O1748" s="752" t="s">
        <v>39</v>
      </c>
      <c r="P1748" s="752" t="s">
        <v>1238</v>
      </c>
      <c r="Q1748" s="753">
        <v>0</v>
      </c>
      <c r="R1748" s="753">
        <v>0</v>
      </c>
      <c r="S1748" s="753">
        <v>152561</v>
      </c>
      <c r="T1748" s="753">
        <v>152561</v>
      </c>
      <c r="U1748" s="753">
        <v>17134</v>
      </c>
      <c r="V1748" s="751">
        <v>2019</v>
      </c>
      <c r="W1748" s="222"/>
      <c r="X1748" s="186"/>
      <c r="Y1748" s="178" t="str">
        <f t="shared" si="84"/>
        <v/>
      </c>
      <c r="Z1748" s="178" t="str">
        <f t="shared" si="85"/>
        <v/>
      </c>
      <c r="AA1748" s="44"/>
      <c r="AB1748" s="65"/>
      <c r="AC1748" s="40"/>
    </row>
    <row r="1749" spans="1:29" hidden="1">
      <c r="A1749" s="751">
        <v>61642</v>
      </c>
      <c r="B1749" s="752" t="s">
        <v>35</v>
      </c>
      <c r="C1749" s="751" t="s">
        <v>2960</v>
      </c>
      <c r="D1749" s="752" t="s">
        <v>2390</v>
      </c>
      <c r="E1749" s="752" t="s">
        <v>2389</v>
      </c>
      <c r="F1749" s="751">
        <v>61252</v>
      </c>
      <c r="G1749" s="752" t="s">
        <v>59</v>
      </c>
      <c r="H1749" s="752" t="s">
        <v>1244</v>
      </c>
      <c r="I1749" s="752" t="s">
        <v>60</v>
      </c>
      <c r="J1749" s="751">
        <v>22</v>
      </c>
      <c r="K1749" s="751">
        <v>2</v>
      </c>
      <c r="L1749" s="752" t="s">
        <v>54</v>
      </c>
      <c r="M1749" s="752" t="s">
        <v>37</v>
      </c>
      <c r="N1749" s="752" t="s">
        <v>38</v>
      </c>
      <c r="O1749" s="752" t="s">
        <v>39</v>
      </c>
      <c r="P1749" s="752" t="s">
        <v>1238</v>
      </c>
      <c r="Q1749" s="753">
        <v>0</v>
      </c>
      <c r="R1749" s="753">
        <v>0</v>
      </c>
      <c r="S1749" s="753">
        <v>46657</v>
      </c>
      <c r="T1749" s="753">
        <v>46657</v>
      </c>
      <c r="U1749" s="753">
        <v>5240</v>
      </c>
      <c r="V1749" s="751">
        <v>2019</v>
      </c>
      <c r="W1749" s="222"/>
      <c r="X1749" s="186"/>
      <c r="Y1749" s="178" t="str">
        <f t="shared" si="84"/>
        <v/>
      </c>
      <c r="Z1749" s="178" t="str">
        <f t="shared" si="85"/>
        <v/>
      </c>
      <c r="AA1749" s="44"/>
      <c r="AB1749" s="65"/>
      <c r="AC1749" s="40"/>
    </row>
    <row r="1750" spans="1:29" hidden="1">
      <c r="A1750" s="751">
        <v>61673</v>
      </c>
      <c r="B1750" s="752" t="s">
        <v>35</v>
      </c>
      <c r="C1750" s="751" t="s">
        <v>2960</v>
      </c>
      <c r="D1750" s="752" t="s">
        <v>2519</v>
      </c>
      <c r="E1750" s="752" t="s">
        <v>2519</v>
      </c>
      <c r="F1750" s="751">
        <v>58261</v>
      </c>
      <c r="G1750" s="752" t="s">
        <v>59</v>
      </c>
      <c r="H1750" s="752" t="s">
        <v>1244</v>
      </c>
      <c r="I1750" s="752" t="s">
        <v>60</v>
      </c>
      <c r="J1750" s="751">
        <v>22</v>
      </c>
      <c r="K1750" s="751">
        <v>2</v>
      </c>
      <c r="L1750" s="752" t="s">
        <v>54</v>
      </c>
      <c r="M1750" s="752" t="s">
        <v>73</v>
      </c>
      <c r="N1750" s="752" t="s">
        <v>74</v>
      </c>
      <c r="O1750" s="752" t="s">
        <v>74</v>
      </c>
      <c r="P1750" s="752" t="s">
        <v>1238</v>
      </c>
      <c r="Q1750" s="753">
        <v>0</v>
      </c>
      <c r="R1750" s="753">
        <v>0</v>
      </c>
      <c r="S1750" s="753">
        <v>2282960</v>
      </c>
      <c r="T1750" s="753">
        <v>2282960</v>
      </c>
      <c r="U1750" s="753">
        <v>256397</v>
      </c>
      <c r="V1750" s="751">
        <v>2019</v>
      </c>
      <c r="W1750" s="222"/>
      <c r="X1750" s="186"/>
      <c r="Y1750" s="178" t="str">
        <f t="shared" si="84"/>
        <v/>
      </c>
      <c r="Z1750" s="178" t="str">
        <f t="shared" si="85"/>
        <v/>
      </c>
      <c r="AA1750" s="44"/>
      <c r="AB1750" s="65"/>
      <c r="AC1750" s="40"/>
    </row>
    <row r="1751" spans="1:29" ht="25" hidden="1">
      <c r="A1751" s="751">
        <v>61702</v>
      </c>
      <c r="B1751" s="752" t="s">
        <v>35</v>
      </c>
      <c r="C1751" s="751" t="s">
        <v>2960</v>
      </c>
      <c r="D1751" s="752" t="s">
        <v>2520</v>
      </c>
      <c r="E1751" s="752" t="s">
        <v>2521</v>
      </c>
      <c r="F1751" s="751">
        <v>61335</v>
      </c>
      <c r="G1751" s="752" t="s">
        <v>83</v>
      </c>
      <c r="H1751" s="752" t="s">
        <v>1245</v>
      </c>
      <c r="I1751" s="752" t="s">
        <v>60</v>
      </c>
      <c r="J1751" s="751">
        <v>22</v>
      </c>
      <c r="K1751" s="751">
        <v>2</v>
      </c>
      <c r="L1751" s="752" t="s">
        <v>54</v>
      </c>
      <c r="M1751" s="752" t="s">
        <v>53</v>
      </c>
      <c r="N1751" s="752" t="s">
        <v>65</v>
      </c>
      <c r="O1751" s="752" t="s">
        <v>66</v>
      </c>
      <c r="P1751" s="752" t="s">
        <v>1091</v>
      </c>
      <c r="Q1751" s="753">
        <v>398205</v>
      </c>
      <c r="R1751" s="753">
        <v>398205</v>
      </c>
      <c r="S1751" s="753">
        <v>181184</v>
      </c>
      <c r="T1751" s="753">
        <v>181184</v>
      </c>
      <c r="U1751" s="753">
        <v>15770</v>
      </c>
      <c r="V1751" s="751">
        <v>2019</v>
      </c>
      <c r="W1751" s="222"/>
      <c r="X1751" s="186"/>
      <c r="Y1751" s="178" t="str">
        <f t="shared" si="84"/>
        <v/>
      </c>
      <c r="Z1751" s="178" t="str">
        <f t="shared" si="85"/>
        <v/>
      </c>
      <c r="AA1751" s="44"/>
      <c r="AB1751" s="65"/>
      <c r="AC1751" s="40"/>
    </row>
    <row r="1752" spans="1:29" hidden="1">
      <c r="A1752" s="751">
        <v>61703</v>
      </c>
      <c r="B1752" s="752" t="s">
        <v>56</v>
      </c>
      <c r="C1752" s="751" t="s">
        <v>2960</v>
      </c>
      <c r="D1752" s="752" t="s">
        <v>2391</v>
      </c>
      <c r="E1752" s="752" t="s">
        <v>2392</v>
      </c>
      <c r="F1752" s="751">
        <v>61332</v>
      </c>
      <c r="G1752" s="752" t="s">
        <v>43</v>
      </c>
      <c r="H1752" s="752" t="s">
        <v>1245</v>
      </c>
      <c r="I1752" s="752" t="s">
        <v>60</v>
      </c>
      <c r="J1752" s="751">
        <v>336</v>
      </c>
      <c r="K1752" s="751">
        <v>7</v>
      </c>
      <c r="L1752" s="752" t="s">
        <v>419</v>
      </c>
      <c r="M1752" s="752" t="s">
        <v>52</v>
      </c>
      <c r="N1752" s="752" t="s">
        <v>41</v>
      </c>
      <c r="O1752" s="752" t="s">
        <v>41</v>
      </c>
      <c r="P1752" s="752" t="s">
        <v>1091</v>
      </c>
      <c r="Q1752" s="753">
        <v>822510</v>
      </c>
      <c r="R1752" s="753">
        <v>652289</v>
      </c>
      <c r="S1752" s="753">
        <v>847185</v>
      </c>
      <c r="T1752" s="753">
        <v>671858</v>
      </c>
      <c r="U1752" s="753">
        <v>57974</v>
      </c>
      <c r="V1752" s="751">
        <v>2019</v>
      </c>
      <c r="W1752" s="222"/>
      <c r="X1752" s="186"/>
      <c r="Y1752" s="178">
        <f t="shared" si="84"/>
        <v>6.7653651253627105</v>
      </c>
      <c r="Z1752" s="178" t="str">
        <f t="shared" si="85"/>
        <v/>
      </c>
      <c r="AA1752" s="44"/>
      <c r="AB1752" s="65"/>
      <c r="AC1752" s="40"/>
    </row>
    <row r="1753" spans="1:29" hidden="1">
      <c r="A1753" s="751">
        <v>61703</v>
      </c>
      <c r="B1753" s="752" t="s">
        <v>56</v>
      </c>
      <c r="C1753" s="751" t="s">
        <v>2960</v>
      </c>
      <c r="D1753" s="752" t="s">
        <v>2391</v>
      </c>
      <c r="E1753" s="752" t="s">
        <v>2392</v>
      </c>
      <c r="F1753" s="751">
        <v>61332</v>
      </c>
      <c r="G1753" s="752" t="s">
        <v>43</v>
      </c>
      <c r="H1753" s="752" t="s">
        <v>1245</v>
      </c>
      <c r="I1753" s="752" t="s">
        <v>60</v>
      </c>
      <c r="J1753" s="751">
        <v>336</v>
      </c>
      <c r="K1753" s="751">
        <v>7</v>
      </c>
      <c r="L1753" s="752" t="s">
        <v>419</v>
      </c>
      <c r="M1753" s="752" t="s">
        <v>468</v>
      </c>
      <c r="N1753" s="752" t="s">
        <v>469</v>
      </c>
      <c r="O1753" s="752" t="s">
        <v>469</v>
      </c>
      <c r="P1753" s="752" t="s">
        <v>1238</v>
      </c>
      <c r="Q1753" s="753">
        <v>0</v>
      </c>
      <c r="R1753" s="753">
        <v>0</v>
      </c>
      <c r="S1753" s="753">
        <v>756</v>
      </c>
      <c r="T1753" s="753">
        <v>756</v>
      </c>
      <c r="U1753" s="753">
        <v>85</v>
      </c>
      <c r="V1753" s="751">
        <v>2019</v>
      </c>
      <c r="W1753" s="222"/>
      <c r="X1753" s="186" t="str">
        <f>IF(OR(K1753&gt;3,T1753=0,NOT(U1753&gt;0)),"",T1753/U1753)</f>
        <v/>
      </c>
      <c r="Y1753" s="178" t="str">
        <f t="shared" si="84"/>
        <v/>
      </c>
      <c r="Z1753" s="178" t="str">
        <f t="shared" si="85"/>
        <v/>
      </c>
      <c r="AA1753" s="44"/>
      <c r="AB1753" s="65"/>
      <c r="AC1753" s="40"/>
    </row>
    <row r="1754" spans="1:29" hidden="1">
      <c r="A1754" s="751">
        <v>61717</v>
      </c>
      <c r="B1754" s="752" t="s">
        <v>35</v>
      </c>
      <c r="C1754" s="751" t="s">
        <v>2960</v>
      </c>
      <c r="D1754" s="752" t="s">
        <v>2393</v>
      </c>
      <c r="E1754" s="752" t="s">
        <v>2394</v>
      </c>
      <c r="F1754" s="751">
        <v>61347</v>
      </c>
      <c r="G1754" s="752" t="s">
        <v>59</v>
      </c>
      <c r="H1754" s="752" t="s">
        <v>1244</v>
      </c>
      <c r="I1754" s="752" t="s">
        <v>60</v>
      </c>
      <c r="J1754" s="751">
        <v>22</v>
      </c>
      <c r="K1754" s="751">
        <v>2</v>
      </c>
      <c r="L1754" s="752" t="s">
        <v>54</v>
      </c>
      <c r="M1754" s="752" t="s">
        <v>468</v>
      </c>
      <c r="N1754" s="752" t="s">
        <v>469</v>
      </c>
      <c r="O1754" s="752" t="s">
        <v>469</v>
      </c>
      <c r="P1754" s="752" t="s">
        <v>1238</v>
      </c>
      <c r="Q1754" s="753">
        <v>0</v>
      </c>
      <c r="R1754" s="753">
        <v>0</v>
      </c>
      <c r="S1754" s="753">
        <v>11604</v>
      </c>
      <c r="T1754" s="753">
        <v>11604</v>
      </c>
      <c r="U1754" s="753">
        <v>1303</v>
      </c>
      <c r="V1754" s="751">
        <v>2019</v>
      </c>
      <c r="W1754" s="222"/>
      <c r="X1754" s="186">
        <f>IF(OR(K1754&gt;3,T1754=0,NOT(U1754&gt;0)),"",T1754/U1754)</f>
        <v>8.9056024558710671</v>
      </c>
      <c r="Y1754" s="178" t="str">
        <f t="shared" si="84"/>
        <v/>
      </c>
      <c r="Z1754" s="178" t="str">
        <f t="shared" si="85"/>
        <v/>
      </c>
      <c r="AA1754" s="44"/>
      <c r="AB1754" s="65"/>
      <c r="AC1754" s="40"/>
    </row>
    <row r="1755" spans="1:29" hidden="1">
      <c r="A1755" s="751">
        <v>61719</v>
      </c>
      <c r="B1755" s="752" t="s">
        <v>35</v>
      </c>
      <c r="C1755" s="751" t="s">
        <v>2960</v>
      </c>
      <c r="D1755" s="752" t="s">
        <v>2522</v>
      </c>
      <c r="E1755" s="752" t="s">
        <v>2523</v>
      </c>
      <c r="F1755" s="751">
        <v>61345</v>
      </c>
      <c r="G1755" s="752" t="s">
        <v>59</v>
      </c>
      <c r="H1755" s="752" t="s">
        <v>1244</v>
      </c>
      <c r="I1755" s="752" t="s">
        <v>60</v>
      </c>
      <c r="J1755" s="751">
        <v>22</v>
      </c>
      <c r="K1755" s="751">
        <v>2</v>
      </c>
      <c r="L1755" s="752" t="s">
        <v>54</v>
      </c>
      <c r="M1755" s="752" t="s">
        <v>468</v>
      </c>
      <c r="N1755" s="752" t="s">
        <v>469</v>
      </c>
      <c r="O1755" s="752" t="s">
        <v>469</v>
      </c>
      <c r="P1755" s="752" t="s">
        <v>1238</v>
      </c>
      <c r="Q1755" s="753">
        <v>0</v>
      </c>
      <c r="R1755" s="753">
        <v>0</v>
      </c>
      <c r="S1755" s="753">
        <v>22678</v>
      </c>
      <c r="T1755" s="753">
        <v>22678</v>
      </c>
      <c r="U1755" s="753">
        <v>2547</v>
      </c>
      <c r="V1755" s="751">
        <v>2019</v>
      </c>
      <c r="W1755" s="222"/>
      <c r="X1755" s="186"/>
      <c r="Y1755" s="178" t="str">
        <f t="shared" si="84"/>
        <v/>
      </c>
      <c r="Z1755" s="178" t="str">
        <f t="shared" si="85"/>
        <v/>
      </c>
      <c r="AA1755" s="44"/>
      <c r="AB1755" s="65"/>
      <c r="AC1755" s="40"/>
    </row>
    <row r="1756" spans="1:29" hidden="1">
      <c r="A1756" s="751">
        <v>61720</v>
      </c>
      <c r="B1756" s="752" t="s">
        <v>35</v>
      </c>
      <c r="C1756" s="751" t="s">
        <v>2960</v>
      </c>
      <c r="D1756" s="752" t="s">
        <v>2524</v>
      </c>
      <c r="E1756" s="752" t="s">
        <v>2525</v>
      </c>
      <c r="F1756" s="751">
        <v>61346</v>
      </c>
      <c r="G1756" s="752" t="s">
        <v>59</v>
      </c>
      <c r="H1756" s="752" t="s">
        <v>1244</v>
      </c>
      <c r="I1756" s="752" t="s">
        <v>60</v>
      </c>
      <c r="J1756" s="751">
        <v>22</v>
      </c>
      <c r="K1756" s="751">
        <v>2</v>
      </c>
      <c r="L1756" s="752" t="s">
        <v>54</v>
      </c>
      <c r="M1756" s="752" t="s">
        <v>468</v>
      </c>
      <c r="N1756" s="752" t="s">
        <v>469</v>
      </c>
      <c r="O1756" s="752" t="s">
        <v>469</v>
      </c>
      <c r="P1756" s="752" t="s">
        <v>1238</v>
      </c>
      <c r="Q1756" s="753">
        <v>0</v>
      </c>
      <c r="R1756" s="753">
        <v>0</v>
      </c>
      <c r="S1756" s="753">
        <v>15126</v>
      </c>
      <c r="T1756" s="753">
        <v>15126</v>
      </c>
      <c r="U1756" s="753">
        <v>1699</v>
      </c>
      <c r="V1756" s="751">
        <v>2019</v>
      </c>
      <c r="W1756" s="222"/>
      <c r="X1756" s="186"/>
      <c r="Y1756" s="178" t="str">
        <f t="shared" si="84"/>
        <v/>
      </c>
      <c r="Z1756" s="178" t="str">
        <f t="shared" si="85"/>
        <v/>
      </c>
      <c r="AA1756" s="44"/>
      <c r="AB1756" s="65"/>
      <c r="AC1756" s="40"/>
    </row>
    <row r="1757" spans="1:29" ht="25" hidden="1">
      <c r="A1757" s="751">
        <v>61724</v>
      </c>
      <c r="B1757" s="752" t="s">
        <v>35</v>
      </c>
      <c r="C1757" s="751" t="s">
        <v>2960</v>
      </c>
      <c r="D1757" s="752" t="s">
        <v>2526</v>
      </c>
      <c r="E1757" s="752" t="s">
        <v>2157</v>
      </c>
      <c r="F1757" s="751">
        <v>60584</v>
      </c>
      <c r="G1757" s="752" t="s">
        <v>59</v>
      </c>
      <c r="H1757" s="752" t="s">
        <v>1244</v>
      </c>
      <c r="I1757" s="752" t="s">
        <v>60</v>
      </c>
      <c r="J1757" s="751">
        <v>22</v>
      </c>
      <c r="K1757" s="751">
        <v>2</v>
      </c>
      <c r="L1757" s="752" t="s">
        <v>54</v>
      </c>
      <c r="M1757" s="752" t="s">
        <v>468</v>
      </c>
      <c r="N1757" s="752" t="s">
        <v>469</v>
      </c>
      <c r="O1757" s="752" t="s">
        <v>469</v>
      </c>
      <c r="P1757" s="752" t="s">
        <v>1238</v>
      </c>
      <c r="Q1757" s="753">
        <v>0</v>
      </c>
      <c r="R1757" s="753">
        <v>0</v>
      </c>
      <c r="S1757" s="753">
        <v>25304</v>
      </c>
      <c r="T1757" s="753">
        <v>25304</v>
      </c>
      <c r="U1757" s="753">
        <v>2842</v>
      </c>
      <c r="V1757" s="751">
        <v>2019</v>
      </c>
      <c r="W1757" s="222"/>
      <c r="X1757" s="186"/>
      <c r="Y1757" s="178" t="str">
        <f t="shared" si="84"/>
        <v/>
      </c>
      <c r="Z1757" s="178" t="str">
        <f t="shared" si="85"/>
        <v/>
      </c>
      <c r="AA1757" s="44"/>
      <c r="AB1757" s="65"/>
      <c r="AC1757" s="40"/>
    </row>
    <row r="1758" spans="1:29" hidden="1">
      <c r="A1758" s="751">
        <v>61725</v>
      </c>
      <c r="B1758" s="752" t="s">
        <v>35</v>
      </c>
      <c r="C1758" s="751" t="s">
        <v>2960</v>
      </c>
      <c r="D1758" s="752" t="s">
        <v>2395</v>
      </c>
      <c r="E1758" s="752" t="s">
        <v>2154</v>
      </c>
      <c r="F1758" s="751">
        <v>60571</v>
      </c>
      <c r="G1758" s="752" t="s">
        <v>59</v>
      </c>
      <c r="H1758" s="752" t="s">
        <v>1244</v>
      </c>
      <c r="I1758" s="752" t="s">
        <v>60</v>
      </c>
      <c r="J1758" s="751">
        <v>22</v>
      </c>
      <c r="K1758" s="751">
        <v>2</v>
      </c>
      <c r="L1758" s="752" t="s">
        <v>54</v>
      </c>
      <c r="M1758" s="752" t="s">
        <v>468</v>
      </c>
      <c r="N1758" s="752" t="s">
        <v>469</v>
      </c>
      <c r="O1758" s="752" t="s">
        <v>469</v>
      </c>
      <c r="P1758" s="752" t="s">
        <v>1238</v>
      </c>
      <c r="Q1758" s="753">
        <v>0</v>
      </c>
      <c r="R1758" s="753">
        <v>0</v>
      </c>
      <c r="S1758" s="753">
        <v>23783</v>
      </c>
      <c r="T1758" s="753">
        <v>23783</v>
      </c>
      <c r="U1758" s="753">
        <v>2671</v>
      </c>
      <c r="V1758" s="751">
        <v>2019</v>
      </c>
      <c r="W1758" s="222"/>
      <c r="X1758" s="186"/>
      <c r="Y1758" s="178" t="str">
        <f t="shared" si="84"/>
        <v/>
      </c>
      <c r="Z1758" s="178" t="str">
        <f t="shared" si="85"/>
        <v/>
      </c>
      <c r="AA1758" s="44"/>
      <c r="AB1758" s="65"/>
      <c r="AC1758" s="40"/>
    </row>
    <row r="1759" spans="1:29" hidden="1">
      <c r="A1759" s="751">
        <v>61726</v>
      </c>
      <c r="B1759" s="752" t="s">
        <v>35</v>
      </c>
      <c r="C1759" s="751" t="s">
        <v>2960</v>
      </c>
      <c r="D1759" s="752" t="s">
        <v>2396</v>
      </c>
      <c r="E1759" s="752" t="s">
        <v>2157</v>
      </c>
      <c r="F1759" s="751">
        <v>60584</v>
      </c>
      <c r="G1759" s="752" t="s">
        <v>83</v>
      </c>
      <c r="H1759" s="752" t="s">
        <v>1245</v>
      </c>
      <c r="I1759" s="752" t="s">
        <v>60</v>
      </c>
      <c r="J1759" s="751">
        <v>22</v>
      </c>
      <c r="K1759" s="751">
        <v>2</v>
      </c>
      <c r="L1759" s="752" t="s">
        <v>54</v>
      </c>
      <c r="M1759" s="752" t="s">
        <v>468</v>
      </c>
      <c r="N1759" s="752" t="s">
        <v>469</v>
      </c>
      <c r="O1759" s="752" t="s">
        <v>469</v>
      </c>
      <c r="P1759" s="752" t="s">
        <v>1238</v>
      </c>
      <c r="Q1759" s="753">
        <v>0</v>
      </c>
      <c r="R1759" s="753">
        <v>0</v>
      </c>
      <c r="S1759" s="753">
        <v>30381</v>
      </c>
      <c r="T1759" s="753">
        <v>30381</v>
      </c>
      <c r="U1759" s="753">
        <v>3412</v>
      </c>
      <c r="V1759" s="751">
        <v>2019</v>
      </c>
      <c r="W1759" s="222"/>
      <c r="X1759" s="186"/>
      <c r="Y1759" s="178" t="str">
        <f t="shared" si="84"/>
        <v/>
      </c>
      <c r="Z1759" s="178" t="str">
        <f t="shared" si="85"/>
        <v/>
      </c>
      <c r="AA1759" s="44"/>
      <c r="AB1759" s="65"/>
      <c r="AC1759" s="40"/>
    </row>
    <row r="1760" spans="1:29" ht="25" hidden="1">
      <c r="A1760" s="751">
        <v>61727</v>
      </c>
      <c r="B1760" s="752" t="s">
        <v>35</v>
      </c>
      <c r="C1760" s="751" t="s">
        <v>2960</v>
      </c>
      <c r="D1760" s="752" t="s">
        <v>2527</v>
      </c>
      <c r="E1760" s="752" t="s">
        <v>2157</v>
      </c>
      <c r="F1760" s="751">
        <v>60584</v>
      </c>
      <c r="G1760" s="752" t="s">
        <v>83</v>
      </c>
      <c r="H1760" s="752" t="s">
        <v>1245</v>
      </c>
      <c r="I1760" s="752" t="s">
        <v>60</v>
      </c>
      <c r="J1760" s="751">
        <v>22</v>
      </c>
      <c r="K1760" s="751">
        <v>2</v>
      </c>
      <c r="L1760" s="752" t="s">
        <v>54</v>
      </c>
      <c r="M1760" s="752" t="s">
        <v>468</v>
      </c>
      <c r="N1760" s="752" t="s">
        <v>469</v>
      </c>
      <c r="O1760" s="752" t="s">
        <v>469</v>
      </c>
      <c r="P1760" s="752" t="s">
        <v>1238</v>
      </c>
      <c r="Q1760" s="753">
        <v>0</v>
      </c>
      <c r="R1760" s="753">
        <v>0</v>
      </c>
      <c r="S1760" s="753">
        <v>40077</v>
      </c>
      <c r="T1760" s="753">
        <v>40077</v>
      </c>
      <c r="U1760" s="753">
        <v>4501</v>
      </c>
      <c r="V1760" s="751">
        <v>2019</v>
      </c>
      <c r="W1760" s="222"/>
      <c r="X1760" s="186"/>
      <c r="Y1760" s="178" t="str">
        <f t="shared" si="84"/>
        <v/>
      </c>
      <c r="Z1760" s="178" t="str">
        <f t="shared" si="85"/>
        <v/>
      </c>
      <c r="AA1760" s="44"/>
      <c r="AB1760" s="65"/>
      <c r="AC1760" s="40"/>
    </row>
    <row r="1761" spans="1:29" hidden="1">
      <c r="A1761" s="751">
        <v>61728</v>
      </c>
      <c r="B1761" s="752" t="s">
        <v>35</v>
      </c>
      <c r="C1761" s="751" t="s">
        <v>2960</v>
      </c>
      <c r="D1761" s="752" t="s">
        <v>2397</v>
      </c>
      <c r="E1761" s="752" t="s">
        <v>2157</v>
      </c>
      <c r="F1761" s="751">
        <v>60584</v>
      </c>
      <c r="G1761" s="752" t="s">
        <v>43</v>
      </c>
      <c r="H1761" s="752" t="s">
        <v>1245</v>
      </c>
      <c r="I1761" s="752" t="s">
        <v>60</v>
      </c>
      <c r="J1761" s="751">
        <v>22</v>
      </c>
      <c r="K1761" s="751">
        <v>2</v>
      </c>
      <c r="L1761" s="752" t="s">
        <v>54</v>
      </c>
      <c r="M1761" s="752" t="s">
        <v>468</v>
      </c>
      <c r="N1761" s="752" t="s">
        <v>469</v>
      </c>
      <c r="O1761" s="752" t="s">
        <v>469</v>
      </c>
      <c r="P1761" s="752" t="s">
        <v>1238</v>
      </c>
      <c r="Q1761" s="753">
        <v>0</v>
      </c>
      <c r="R1761" s="753">
        <v>0</v>
      </c>
      <c r="S1761" s="753">
        <v>24129</v>
      </c>
      <c r="T1761" s="753">
        <v>24129</v>
      </c>
      <c r="U1761" s="753">
        <v>2710</v>
      </c>
      <c r="V1761" s="751">
        <v>2019</v>
      </c>
      <c r="W1761" s="222"/>
      <c r="X1761" s="186"/>
      <c r="Y1761" s="178" t="str">
        <f t="shared" si="84"/>
        <v/>
      </c>
      <c r="Z1761" s="178" t="str">
        <f t="shared" si="85"/>
        <v/>
      </c>
      <c r="AA1761" s="44"/>
      <c r="AB1761" s="65"/>
      <c r="AC1761" s="40"/>
    </row>
    <row r="1762" spans="1:29" ht="25" hidden="1">
      <c r="A1762" s="751">
        <v>61730</v>
      </c>
      <c r="B1762" s="752" t="s">
        <v>35</v>
      </c>
      <c r="C1762" s="751" t="s">
        <v>2960</v>
      </c>
      <c r="D1762" s="752" t="s">
        <v>3001</v>
      </c>
      <c r="E1762" s="752" t="s">
        <v>2528</v>
      </c>
      <c r="F1762" s="751">
        <v>58764</v>
      </c>
      <c r="G1762" s="752" t="s">
        <v>83</v>
      </c>
      <c r="H1762" s="752" t="s">
        <v>1245</v>
      </c>
      <c r="I1762" s="752" t="s">
        <v>60</v>
      </c>
      <c r="J1762" s="751">
        <v>22</v>
      </c>
      <c r="K1762" s="751">
        <v>2</v>
      </c>
      <c r="L1762" s="752" t="s">
        <v>54</v>
      </c>
      <c r="M1762" s="752" t="s">
        <v>2001</v>
      </c>
      <c r="N1762" s="752" t="s">
        <v>1107</v>
      </c>
      <c r="O1762" s="752" t="s">
        <v>84</v>
      </c>
      <c r="P1762" s="752" t="s">
        <v>2961</v>
      </c>
      <c r="Q1762" s="753">
        <v>365</v>
      </c>
      <c r="R1762" s="753">
        <v>365</v>
      </c>
      <c r="S1762" s="753">
        <v>0</v>
      </c>
      <c r="T1762" s="753">
        <v>0</v>
      </c>
      <c r="U1762" s="753">
        <v>-10</v>
      </c>
      <c r="V1762" s="751">
        <v>2019</v>
      </c>
      <c r="W1762" s="222"/>
      <c r="X1762" s="186"/>
      <c r="Y1762" s="178" t="str">
        <f t="shared" si="84"/>
        <v/>
      </c>
      <c r="Z1762" s="178" t="str">
        <f t="shared" si="85"/>
        <v/>
      </c>
      <c r="AA1762" s="44"/>
      <c r="AB1762" s="65"/>
      <c r="AC1762" s="40"/>
    </row>
    <row r="1763" spans="1:29" hidden="1">
      <c r="A1763" s="751">
        <v>61730</v>
      </c>
      <c r="B1763" s="752" t="s">
        <v>35</v>
      </c>
      <c r="C1763" s="751" t="s">
        <v>2960</v>
      </c>
      <c r="D1763" s="752" t="s">
        <v>3001</v>
      </c>
      <c r="E1763" s="752" t="s">
        <v>2528</v>
      </c>
      <c r="F1763" s="751">
        <v>58764</v>
      </c>
      <c r="G1763" s="752" t="s">
        <v>83</v>
      </c>
      <c r="H1763" s="752" t="s">
        <v>1245</v>
      </c>
      <c r="I1763" s="752" t="s">
        <v>60</v>
      </c>
      <c r="J1763" s="751">
        <v>22</v>
      </c>
      <c r="K1763" s="751">
        <v>2</v>
      </c>
      <c r="L1763" s="752" t="s">
        <v>54</v>
      </c>
      <c r="M1763" s="752" t="s">
        <v>468</v>
      </c>
      <c r="N1763" s="752" t="s">
        <v>469</v>
      </c>
      <c r="O1763" s="752" t="s">
        <v>469</v>
      </c>
      <c r="P1763" s="752" t="s">
        <v>1238</v>
      </c>
      <c r="Q1763" s="753">
        <v>0</v>
      </c>
      <c r="R1763" s="753">
        <v>0</v>
      </c>
      <c r="S1763" s="753">
        <v>11406</v>
      </c>
      <c r="T1763" s="753">
        <v>11406</v>
      </c>
      <c r="U1763" s="753">
        <v>1281</v>
      </c>
      <c r="V1763" s="751">
        <v>2019</v>
      </c>
      <c r="W1763" s="222"/>
      <c r="X1763" s="186"/>
      <c r="Y1763" s="178" t="str">
        <f t="shared" si="84"/>
        <v/>
      </c>
      <c r="Z1763" s="178" t="str">
        <f t="shared" si="85"/>
        <v/>
      </c>
      <c r="AA1763" s="44"/>
      <c r="AB1763" s="65"/>
      <c r="AC1763" s="40"/>
    </row>
    <row r="1764" spans="1:29" hidden="1">
      <c r="A1764" s="751">
        <v>61731</v>
      </c>
      <c r="B1764" s="752" t="s">
        <v>35</v>
      </c>
      <c r="C1764" s="751" t="s">
        <v>2960</v>
      </c>
      <c r="D1764" s="752" t="s">
        <v>2398</v>
      </c>
      <c r="E1764" s="752" t="s">
        <v>2398</v>
      </c>
      <c r="F1764" s="751">
        <v>61354</v>
      </c>
      <c r="G1764" s="752" t="s">
        <v>83</v>
      </c>
      <c r="H1764" s="752" t="s">
        <v>1245</v>
      </c>
      <c r="I1764" s="752" t="s">
        <v>60</v>
      </c>
      <c r="J1764" s="751">
        <v>22</v>
      </c>
      <c r="K1764" s="751">
        <v>2</v>
      </c>
      <c r="L1764" s="752" t="s">
        <v>54</v>
      </c>
      <c r="M1764" s="752" t="s">
        <v>468</v>
      </c>
      <c r="N1764" s="752" t="s">
        <v>469</v>
      </c>
      <c r="O1764" s="752" t="s">
        <v>469</v>
      </c>
      <c r="P1764" s="752" t="s">
        <v>1238</v>
      </c>
      <c r="Q1764" s="753">
        <v>0</v>
      </c>
      <c r="R1764" s="753">
        <v>0</v>
      </c>
      <c r="S1764" s="753">
        <v>67101</v>
      </c>
      <c r="T1764" s="753">
        <v>67101</v>
      </c>
      <c r="U1764" s="753">
        <v>7536</v>
      </c>
      <c r="V1764" s="751">
        <v>2019</v>
      </c>
      <c r="W1764" s="222"/>
      <c r="X1764" s="186">
        <f>IF(OR(K1764&gt;3,T1764=0,NOT(U1764&gt;0)),"",T1764/U1764)</f>
        <v>8.9040605095541405</v>
      </c>
      <c r="Y1764" s="178" t="str">
        <f t="shared" si="84"/>
        <v/>
      </c>
      <c r="Z1764" s="178" t="str">
        <f t="shared" si="85"/>
        <v/>
      </c>
      <c r="AA1764" s="44"/>
      <c r="AB1764" s="65"/>
      <c r="AC1764" s="40"/>
    </row>
    <row r="1765" spans="1:29" hidden="1">
      <c r="A1765" s="751">
        <v>61732</v>
      </c>
      <c r="B1765" s="752" t="s">
        <v>35</v>
      </c>
      <c r="C1765" s="751" t="s">
        <v>2960</v>
      </c>
      <c r="D1765" s="752" t="s">
        <v>2399</v>
      </c>
      <c r="E1765" s="752" t="s">
        <v>2400</v>
      </c>
      <c r="F1765" s="751">
        <v>61356</v>
      </c>
      <c r="G1765" s="752" t="s">
        <v>83</v>
      </c>
      <c r="H1765" s="752" t="s">
        <v>1245</v>
      </c>
      <c r="I1765" s="752" t="s">
        <v>60</v>
      </c>
      <c r="J1765" s="751">
        <v>22</v>
      </c>
      <c r="K1765" s="751">
        <v>2</v>
      </c>
      <c r="L1765" s="752" t="s">
        <v>54</v>
      </c>
      <c r="M1765" s="752" t="s">
        <v>468</v>
      </c>
      <c r="N1765" s="752" t="s">
        <v>469</v>
      </c>
      <c r="O1765" s="752" t="s">
        <v>469</v>
      </c>
      <c r="P1765" s="752" t="s">
        <v>1238</v>
      </c>
      <c r="Q1765" s="753">
        <v>0</v>
      </c>
      <c r="R1765" s="753">
        <v>0</v>
      </c>
      <c r="S1765" s="753">
        <v>56077</v>
      </c>
      <c r="T1765" s="753">
        <v>56077</v>
      </c>
      <c r="U1765" s="753">
        <v>6298</v>
      </c>
      <c r="V1765" s="751">
        <v>2019</v>
      </c>
      <c r="W1765" s="222"/>
      <c r="X1765" s="186"/>
      <c r="Y1765" s="178" t="str">
        <f t="shared" si="84"/>
        <v/>
      </c>
      <c r="Z1765" s="178" t="str">
        <f t="shared" si="85"/>
        <v/>
      </c>
      <c r="AA1765" s="44"/>
      <c r="AB1765" s="65"/>
      <c r="AC1765" s="40"/>
    </row>
    <row r="1766" spans="1:29" ht="25" hidden="1">
      <c r="A1766" s="751">
        <v>61734</v>
      </c>
      <c r="B1766" s="752" t="s">
        <v>35</v>
      </c>
      <c r="C1766" s="751" t="s">
        <v>2960</v>
      </c>
      <c r="D1766" s="752" t="s">
        <v>2401</v>
      </c>
      <c r="E1766" s="752" t="s">
        <v>2402</v>
      </c>
      <c r="F1766" s="751">
        <v>61363</v>
      </c>
      <c r="G1766" s="752" t="s">
        <v>59</v>
      </c>
      <c r="H1766" s="752" t="s">
        <v>1244</v>
      </c>
      <c r="I1766" s="752" t="s">
        <v>60</v>
      </c>
      <c r="J1766" s="751">
        <v>441</v>
      </c>
      <c r="K1766" s="751">
        <v>4</v>
      </c>
      <c r="L1766" s="752" t="s">
        <v>422</v>
      </c>
      <c r="M1766" s="752" t="s">
        <v>73</v>
      </c>
      <c r="N1766" s="752" t="s">
        <v>74</v>
      </c>
      <c r="O1766" s="752" t="s">
        <v>74</v>
      </c>
      <c r="P1766" s="752" t="s">
        <v>1238</v>
      </c>
      <c r="Q1766" s="753">
        <v>0</v>
      </c>
      <c r="R1766" s="753">
        <v>0</v>
      </c>
      <c r="S1766" s="753">
        <v>25375</v>
      </c>
      <c r="T1766" s="753">
        <v>25375</v>
      </c>
      <c r="U1766" s="753">
        <v>2850</v>
      </c>
      <c r="V1766" s="751">
        <v>2019</v>
      </c>
      <c r="W1766" s="222"/>
      <c r="X1766" s="186"/>
      <c r="Y1766" s="178" t="str">
        <f t="shared" si="84"/>
        <v/>
      </c>
      <c r="Z1766" s="178" t="str">
        <f t="shared" si="85"/>
        <v/>
      </c>
      <c r="AA1766" s="44"/>
      <c r="AB1766" s="65"/>
      <c r="AC1766" s="40"/>
    </row>
    <row r="1767" spans="1:29" hidden="1">
      <c r="A1767" s="751">
        <v>61736</v>
      </c>
      <c r="B1767" s="752" t="s">
        <v>35</v>
      </c>
      <c r="C1767" s="751" t="s">
        <v>2960</v>
      </c>
      <c r="D1767" s="752" t="s">
        <v>2529</v>
      </c>
      <c r="E1767" s="752" t="s">
        <v>2530</v>
      </c>
      <c r="F1767" s="751">
        <v>61366</v>
      </c>
      <c r="G1767" s="752" t="s">
        <v>43</v>
      </c>
      <c r="H1767" s="752" t="s">
        <v>1245</v>
      </c>
      <c r="I1767" s="752" t="s">
        <v>60</v>
      </c>
      <c r="J1767" s="751">
        <v>22</v>
      </c>
      <c r="K1767" s="751">
        <v>2</v>
      </c>
      <c r="L1767" s="752" t="s">
        <v>54</v>
      </c>
      <c r="M1767" s="752" t="s">
        <v>468</v>
      </c>
      <c r="N1767" s="752" t="s">
        <v>469</v>
      </c>
      <c r="O1767" s="752" t="s">
        <v>469</v>
      </c>
      <c r="P1767" s="752" t="s">
        <v>1238</v>
      </c>
      <c r="Q1767" s="753">
        <v>0</v>
      </c>
      <c r="R1767" s="753">
        <v>0</v>
      </c>
      <c r="S1767" s="753">
        <v>211318</v>
      </c>
      <c r="T1767" s="753">
        <v>211318</v>
      </c>
      <c r="U1767" s="753">
        <v>23733</v>
      </c>
      <c r="V1767" s="751">
        <v>2019</v>
      </c>
      <c r="W1767" s="222"/>
      <c r="X1767" s="186"/>
      <c r="Y1767" s="178" t="str">
        <f t="shared" si="84"/>
        <v/>
      </c>
      <c r="Z1767" s="178" t="str">
        <f t="shared" si="85"/>
        <v/>
      </c>
      <c r="AA1767" s="44"/>
      <c r="AB1767" s="65"/>
      <c r="AC1767" s="40"/>
    </row>
    <row r="1768" spans="1:29" ht="25" hidden="1">
      <c r="A1768" s="751">
        <v>61739</v>
      </c>
      <c r="B1768" s="752" t="s">
        <v>35</v>
      </c>
      <c r="C1768" s="751" t="s">
        <v>2960</v>
      </c>
      <c r="D1768" s="752" t="s">
        <v>2403</v>
      </c>
      <c r="E1768" s="752" t="s">
        <v>2403</v>
      </c>
      <c r="F1768" s="751">
        <v>61364</v>
      </c>
      <c r="G1768" s="752" t="s">
        <v>59</v>
      </c>
      <c r="H1768" s="752" t="s">
        <v>1244</v>
      </c>
      <c r="I1768" s="752" t="s">
        <v>60</v>
      </c>
      <c r="J1768" s="751">
        <v>339</v>
      </c>
      <c r="K1768" s="751">
        <v>6</v>
      </c>
      <c r="L1768" s="752" t="s">
        <v>420</v>
      </c>
      <c r="M1768" s="752" t="s">
        <v>2001</v>
      </c>
      <c r="N1768" s="752" t="s">
        <v>1107</v>
      </c>
      <c r="O1768" s="752" t="s">
        <v>84</v>
      </c>
      <c r="P1768" s="752" t="s">
        <v>2961</v>
      </c>
      <c r="Q1768" s="753">
        <v>0</v>
      </c>
      <c r="R1768" s="753">
        <v>0</v>
      </c>
      <c r="S1768" s="753">
        <v>0</v>
      </c>
      <c r="T1768" s="753">
        <v>0</v>
      </c>
      <c r="U1768" s="753">
        <v>0</v>
      </c>
      <c r="V1768" s="751">
        <v>2019</v>
      </c>
      <c r="W1768" s="222"/>
      <c r="X1768" s="186"/>
      <c r="Y1768" s="178" t="str">
        <f t="shared" si="84"/>
        <v/>
      </c>
      <c r="Z1768" s="178" t="str">
        <f t="shared" si="85"/>
        <v/>
      </c>
      <c r="AA1768" s="44"/>
      <c r="AB1768" s="65"/>
      <c r="AC1768" s="40"/>
    </row>
    <row r="1769" spans="1:29" hidden="1">
      <c r="A1769" s="751">
        <v>61755</v>
      </c>
      <c r="B1769" s="752" t="s">
        <v>35</v>
      </c>
      <c r="C1769" s="751" t="s">
        <v>2960</v>
      </c>
      <c r="D1769" s="752" t="s">
        <v>2404</v>
      </c>
      <c r="E1769" s="752" t="s">
        <v>1851</v>
      </c>
      <c r="F1769" s="751">
        <v>59254</v>
      </c>
      <c r="G1769" s="752" t="s">
        <v>83</v>
      </c>
      <c r="H1769" s="752" t="s">
        <v>1245</v>
      </c>
      <c r="I1769" s="752" t="s">
        <v>60</v>
      </c>
      <c r="J1769" s="751">
        <v>22</v>
      </c>
      <c r="K1769" s="751">
        <v>2</v>
      </c>
      <c r="L1769" s="752" t="s">
        <v>54</v>
      </c>
      <c r="M1769" s="752" t="s">
        <v>468</v>
      </c>
      <c r="N1769" s="752" t="s">
        <v>469</v>
      </c>
      <c r="O1769" s="752" t="s">
        <v>469</v>
      </c>
      <c r="P1769" s="752" t="s">
        <v>1238</v>
      </c>
      <c r="Q1769" s="753">
        <v>0</v>
      </c>
      <c r="R1769" s="753">
        <v>0</v>
      </c>
      <c r="S1769" s="753">
        <v>40796</v>
      </c>
      <c r="T1769" s="753">
        <v>40796</v>
      </c>
      <c r="U1769" s="753">
        <v>4582</v>
      </c>
      <c r="V1769" s="751">
        <v>2019</v>
      </c>
      <c r="W1769" s="222"/>
      <c r="X1769" s="186"/>
      <c r="Y1769" s="178" t="str">
        <f t="shared" si="84"/>
        <v/>
      </c>
      <c r="Z1769" s="178" t="str">
        <f t="shared" si="85"/>
        <v/>
      </c>
      <c r="AA1769" s="44"/>
      <c r="AB1769" s="65"/>
      <c r="AC1769" s="40"/>
    </row>
    <row r="1770" spans="1:29" hidden="1">
      <c r="A1770" s="751">
        <v>61764</v>
      </c>
      <c r="B1770" s="752" t="s">
        <v>35</v>
      </c>
      <c r="C1770" s="751" t="s">
        <v>2960</v>
      </c>
      <c r="D1770" s="752" t="s">
        <v>2405</v>
      </c>
      <c r="E1770" s="752" t="s">
        <v>2406</v>
      </c>
      <c r="F1770" s="751">
        <v>61391</v>
      </c>
      <c r="G1770" s="752" t="s">
        <v>59</v>
      </c>
      <c r="H1770" s="752" t="s">
        <v>1244</v>
      </c>
      <c r="I1770" s="752" t="s">
        <v>60</v>
      </c>
      <c r="J1770" s="751">
        <v>22</v>
      </c>
      <c r="K1770" s="751">
        <v>2</v>
      </c>
      <c r="L1770" s="752" t="s">
        <v>54</v>
      </c>
      <c r="M1770" s="752" t="s">
        <v>468</v>
      </c>
      <c r="N1770" s="752" t="s">
        <v>469</v>
      </c>
      <c r="O1770" s="752" t="s">
        <v>469</v>
      </c>
      <c r="P1770" s="752" t="s">
        <v>1238</v>
      </c>
      <c r="Q1770" s="753">
        <v>0</v>
      </c>
      <c r="R1770" s="753">
        <v>0</v>
      </c>
      <c r="S1770" s="753">
        <v>25759</v>
      </c>
      <c r="T1770" s="753">
        <v>25759</v>
      </c>
      <c r="U1770" s="753">
        <v>2893</v>
      </c>
      <c r="V1770" s="751">
        <v>2019</v>
      </c>
      <c r="W1770" s="222"/>
      <c r="X1770" s="186">
        <f>IF(OR(K1770&gt;3,T1770=0,NOT(U1770&gt;0)),"",T1770/U1770)</f>
        <v>8.9039059799516078</v>
      </c>
      <c r="Y1770" s="178" t="str">
        <f t="shared" si="84"/>
        <v/>
      </c>
      <c r="Z1770" s="178" t="str">
        <f t="shared" si="85"/>
        <v/>
      </c>
      <c r="AA1770" s="44"/>
      <c r="AB1770" s="65"/>
      <c r="AC1770" s="40"/>
    </row>
    <row r="1771" spans="1:29" hidden="1">
      <c r="A1771" s="751">
        <v>61765</v>
      </c>
      <c r="B1771" s="752" t="s">
        <v>35</v>
      </c>
      <c r="C1771" s="751" t="s">
        <v>2960</v>
      </c>
      <c r="D1771" s="752" t="s">
        <v>2407</v>
      </c>
      <c r="E1771" s="752" t="s">
        <v>2408</v>
      </c>
      <c r="F1771" s="751">
        <v>61387</v>
      </c>
      <c r="G1771" s="752" t="s">
        <v>59</v>
      </c>
      <c r="H1771" s="752" t="s">
        <v>1244</v>
      </c>
      <c r="I1771" s="752" t="s">
        <v>60</v>
      </c>
      <c r="J1771" s="751">
        <v>22</v>
      </c>
      <c r="K1771" s="751">
        <v>2</v>
      </c>
      <c r="L1771" s="752" t="s">
        <v>54</v>
      </c>
      <c r="M1771" s="752" t="s">
        <v>468</v>
      </c>
      <c r="N1771" s="752" t="s">
        <v>469</v>
      </c>
      <c r="O1771" s="752" t="s">
        <v>469</v>
      </c>
      <c r="P1771" s="752" t="s">
        <v>1238</v>
      </c>
      <c r="Q1771" s="753">
        <v>0</v>
      </c>
      <c r="R1771" s="753">
        <v>0</v>
      </c>
      <c r="S1771" s="753">
        <v>28188</v>
      </c>
      <c r="T1771" s="753">
        <v>28188</v>
      </c>
      <c r="U1771" s="753">
        <v>3166</v>
      </c>
      <c r="V1771" s="751">
        <v>2019</v>
      </c>
      <c r="W1771" s="222"/>
      <c r="X1771" s="186"/>
      <c r="Y1771" s="178" t="str">
        <f t="shared" si="84"/>
        <v/>
      </c>
      <c r="Z1771" s="178" t="str">
        <f t="shared" si="85"/>
        <v/>
      </c>
      <c r="AA1771" s="44"/>
      <c r="AB1771" s="65"/>
      <c r="AC1771" s="40"/>
    </row>
    <row r="1772" spans="1:29" hidden="1">
      <c r="A1772" s="751">
        <v>61769</v>
      </c>
      <c r="B1772" s="752" t="s">
        <v>35</v>
      </c>
      <c r="C1772" s="751" t="s">
        <v>2960</v>
      </c>
      <c r="D1772" s="752" t="s">
        <v>2409</v>
      </c>
      <c r="E1772" s="752" t="s">
        <v>2410</v>
      </c>
      <c r="F1772" s="751">
        <v>61388</v>
      </c>
      <c r="G1772" s="752" t="s">
        <v>83</v>
      </c>
      <c r="H1772" s="752" t="s">
        <v>1245</v>
      </c>
      <c r="I1772" s="752" t="s">
        <v>60</v>
      </c>
      <c r="J1772" s="751">
        <v>22</v>
      </c>
      <c r="K1772" s="751">
        <v>2</v>
      </c>
      <c r="L1772" s="752" t="s">
        <v>54</v>
      </c>
      <c r="M1772" s="752" t="s">
        <v>468</v>
      </c>
      <c r="N1772" s="752" t="s">
        <v>469</v>
      </c>
      <c r="O1772" s="752" t="s">
        <v>469</v>
      </c>
      <c r="P1772" s="752" t="s">
        <v>1238</v>
      </c>
      <c r="Q1772" s="753">
        <v>0</v>
      </c>
      <c r="R1772" s="753">
        <v>0</v>
      </c>
      <c r="S1772" s="753">
        <v>27166</v>
      </c>
      <c r="T1772" s="753">
        <v>27166</v>
      </c>
      <c r="U1772" s="753">
        <v>3051</v>
      </c>
      <c r="V1772" s="751">
        <v>2019</v>
      </c>
      <c r="W1772" s="222"/>
      <c r="X1772" s="186"/>
      <c r="Y1772" s="178" t="str">
        <f t="shared" si="84"/>
        <v/>
      </c>
      <c r="Z1772" s="178" t="str">
        <f t="shared" si="85"/>
        <v/>
      </c>
      <c r="AA1772" s="44"/>
      <c r="AB1772" s="65"/>
      <c r="AC1772" s="40"/>
    </row>
    <row r="1773" spans="1:29" hidden="1">
      <c r="A1773" s="751">
        <v>61770</v>
      </c>
      <c r="B1773" s="752" t="s">
        <v>35</v>
      </c>
      <c r="C1773" s="751" t="s">
        <v>2960</v>
      </c>
      <c r="D1773" s="752" t="s">
        <v>2411</v>
      </c>
      <c r="E1773" s="752" t="s">
        <v>2412</v>
      </c>
      <c r="F1773" s="751">
        <v>61389</v>
      </c>
      <c r="G1773" s="752" t="s">
        <v>83</v>
      </c>
      <c r="H1773" s="752" t="s">
        <v>1245</v>
      </c>
      <c r="I1773" s="752" t="s">
        <v>60</v>
      </c>
      <c r="J1773" s="751">
        <v>22</v>
      </c>
      <c r="K1773" s="751">
        <v>2</v>
      </c>
      <c r="L1773" s="752" t="s">
        <v>54</v>
      </c>
      <c r="M1773" s="752" t="s">
        <v>468</v>
      </c>
      <c r="N1773" s="752" t="s">
        <v>469</v>
      </c>
      <c r="O1773" s="752" t="s">
        <v>469</v>
      </c>
      <c r="P1773" s="752" t="s">
        <v>1238</v>
      </c>
      <c r="Q1773" s="753">
        <v>0</v>
      </c>
      <c r="R1773" s="753">
        <v>0</v>
      </c>
      <c r="S1773" s="753">
        <v>27611</v>
      </c>
      <c r="T1773" s="753">
        <v>27611</v>
      </c>
      <c r="U1773" s="753">
        <v>3101</v>
      </c>
      <c r="V1773" s="751">
        <v>2019</v>
      </c>
      <c r="W1773" s="222"/>
      <c r="X1773" s="186"/>
      <c r="Y1773" s="178" t="str">
        <f t="shared" si="84"/>
        <v/>
      </c>
      <c r="Z1773" s="178" t="str">
        <f t="shared" si="85"/>
        <v/>
      </c>
      <c r="AA1773" s="44"/>
      <c r="AB1773" s="65"/>
      <c r="AC1773" s="40"/>
    </row>
    <row r="1774" spans="1:29" hidden="1">
      <c r="A1774" s="751">
        <v>61771</v>
      </c>
      <c r="B1774" s="752" t="s">
        <v>35</v>
      </c>
      <c r="C1774" s="751" t="s">
        <v>2960</v>
      </c>
      <c r="D1774" s="752" t="s">
        <v>2413</v>
      </c>
      <c r="E1774" s="752" t="s">
        <v>2414</v>
      </c>
      <c r="F1774" s="751">
        <v>61390</v>
      </c>
      <c r="G1774" s="752" t="s">
        <v>83</v>
      </c>
      <c r="H1774" s="752" t="s">
        <v>1245</v>
      </c>
      <c r="I1774" s="752" t="s">
        <v>60</v>
      </c>
      <c r="J1774" s="751">
        <v>22</v>
      </c>
      <c r="K1774" s="751">
        <v>2</v>
      </c>
      <c r="L1774" s="752" t="s">
        <v>54</v>
      </c>
      <c r="M1774" s="752" t="s">
        <v>468</v>
      </c>
      <c r="N1774" s="752" t="s">
        <v>469</v>
      </c>
      <c r="O1774" s="752" t="s">
        <v>469</v>
      </c>
      <c r="P1774" s="752" t="s">
        <v>1238</v>
      </c>
      <c r="Q1774" s="753">
        <v>0</v>
      </c>
      <c r="R1774" s="753">
        <v>0</v>
      </c>
      <c r="S1774" s="753">
        <v>13723</v>
      </c>
      <c r="T1774" s="753">
        <v>13723</v>
      </c>
      <c r="U1774" s="753">
        <v>1541</v>
      </c>
      <c r="V1774" s="751">
        <v>2019</v>
      </c>
      <c r="W1774" s="222"/>
      <c r="X1774" s="186"/>
      <c r="Y1774" s="178" t="str">
        <f t="shared" si="84"/>
        <v/>
      </c>
      <c r="Z1774" s="178" t="str">
        <f t="shared" si="85"/>
        <v/>
      </c>
      <c r="AA1774" s="44"/>
      <c r="AB1774" s="65"/>
      <c r="AC1774" s="40"/>
    </row>
    <row r="1775" spans="1:29" hidden="1">
      <c r="A1775" s="751">
        <v>61774</v>
      </c>
      <c r="B1775" s="752" t="s">
        <v>35</v>
      </c>
      <c r="C1775" s="751" t="s">
        <v>2960</v>
      </c>
      <c r="D1775" s="752" t="s">
        <v>2531</v>
      </c>
      <c r="E1775" s="752" t="s">
        <v>2415</v>
      </c>
      <c r="F1775" s="751">
        <v>61392</v>
      </c>
      <c r="G1775" s="752" t="s">
        <v>83</v>
      </c>
      <c r="H1775" s="752" t="s">
        <v>1245</v>
      </c>
      <c r="I1775" s="752" t="s">
        <v>60</v>
      </c>
      <c r="J1775" s="751">
        <v>22</v>
      </c>
      <c r="K1775" s="751">
        <v>2</v>
      </c>
      <c r="L1775" s="752" t="s">
        <v>54</v>
      </c>
      <c r="M1775" s="752" t="s">
        <v>468</v>
      </c>
      <c r="N1775" s="752" t="s">
        <v>469</v>
      </c>
      <c r="O1775" s="752" t="s">
        <v>469</v>
      </c>
      <c r="P1775" s="752" t="s">
        <v>1238</v>
      </c>
      <c r="Q1775" s="753">
        <v>0</v>
      </c>
      <c r="R1775" s="753">
        <v>0</v>
      </c>
      <c r="S1775" s="753">
        <v>32037</v>
      </c>
      <c r="T1775" s="753">
        <v>32037</v>
      </c>
      <c r="U1775" s="753">
        <v>3598</v>
      </c>
      <c r="V1775" s="751">
        <v>2019</v>
      </c>
      <c r="W1775" s="222"/>
      <c r="X1775" s="186"/>
      <c r="Y1775" s="178" t="str">
        <f t="shared" si="84"/>
        <v/>
      </c>
      <c r="Z1775" s="178" t="str">
        <f t="shared" si="85"/>
        <v/>
      </c>
      <c r="AA1775" s="44"/>
      <c r="AB1775" s="65"/>
      <c r="AC1775" s="40"/>
    </row>
    <row r="1776" spans="1:29" ht="25" hidden="1">
      <c r="A1776" s="751">
        <v>61775</v>
      </c>
      <c r="B1776" s="752" t="s">
        <v>35</v>
      </c>
      <c r="C1776" s="751" t="s">
        <v>2960</v>
      </c>
      <c r="D1776" s="752" t="s">
        <v>2532</v>
      </c>
      <c r="E1776" s="752" t="s">
        <v>2533</v>
      </c>
      <c r="F1776" s="751">
        <v>61397</v>
      </c>
      <c r="G1776" s="752" t="s">
        <v>83</v>
      </c>
      <c r="H1776" s="752" t="s">
        <v>1245</v>
      </c>
      <c r="I1776" s="752" t="s">
        <v>60</v>
      </c>
      <c r="J1776" s="751">
        <v>92</v>
      </c>
      <c r="K1776" s="751">
        <v>4</v>
      </c>
      <c r="L1776" s="752" t="s">
        <v>422</v>
      </c>
      <c r="M1776" s="752" t="s">
        <v>73</v>
      </c>
      <c r="N1776" s="752" t="s">
        <v>74</v>
      </c>
      <c r="O1776" s="752" t="s">
        <v>74</v>
      </c>
      <c r="P1776" s="752" t="s">
        <v>1238</v>
      </c>
      <c r="Q1776" s="753">
        <v>0</v>
      </c>
      <c r="R1776" s="753">
        <v>0</v>
      </c>
      <c r="S1776" s="753">
        <v>25020</v>
      </c>
      <c r="T1776" s="753">
        <v>25020</v>
      </c>
      <c r="U1776" s="753">
        <v>2810</v>
      </c>
      <c r="V1776" s="751">
        <v>2019</v>
      </c>
      <c r="W1776" s="222"/>
      <c r="X1776" s="186"/>
      <c r="Y1776" s="178" t="str">
        <f t="shared" si="84"/>
        <v/>
      </c>
      <c r="Z1776" s="178" t="str">
        <f t="shared" si="85"/>
        <v/>
      </c>
      <c r="AA1776" s="44"/>
      <c r="AB1776" s="65"/>
      <c r="AC1776" s="40"/>
    </row>
    <row r="1777" spans="1:29">
      <c r="A1777" s="751">
        <v>61786</v>
      </c>
      <c r="B1777" s="752" t="s">
        <v>35</v>
      </c>
      <c r="C1777" s="751" t="s">
        <v>2960</v>
      </c>
      <c r="D1777" s="752" t="s">
        <v>2534</v>
      </c>
      <c r="E1777" s="752" t="s">
        <v>2154</v>
      </c>
      <c r="F1777" s="751">
        <v>60571</v>
      </c>
      <c r="G1777" s="752" t="s">
        <v>43</v>
      </c>
      <c r="H1777" s="752" t="s">
        <v>1245</v>
      </c>
      <c r="I1777" s="752" t="s">
        <v>60</v>
      </c>
      <c r="J1777" s="751">
        <v>22</v>
      </c>
      <c r="K1777" s="751">
        <v>2</v>
      </c>
      <c r="L1777" s="752" t="s">
        <v>54</v>
      </c>
      <c r="M1777" s="752" t="s">
        <v>1322</v>
      </c>
      <c r="N1777" s="752" t="s">
        <v>41</v>
      </c>
      <c r="O1777" s="752" t="s">
        <v>41</v>
      </c>
      <c r="P1777" s="752" t="s">
        <v>1091</v>
      </c>
      <c r="Q1777" s="753">
        <v>32265</v>
      </c>
      <c r="R1777" s="753">
        <v>32265</v>
      </c>
      <c r="S1777" s="753">
        <v>33299</v>
      </c>
      <c r="T1777" s="753">
        <v>33299</v>
      </c>
      <c r="U1777" s="753">
        <v>10660</v>
      </c>
      <c r="V1777" s="751">
        <v>2019</v>
      </c>
      <c r="W1777" s="222"/>
      <c r="X1777" s="186"/>
      <c r="Y1777" s="178" t="str">
        <f t="shared" si="84"/>
        <v/>
      </c>
      <c r="Z1777" s="178" t="str">
        <f t="shared" si="85"/>
        <v/>
      </c>
      <c r="AA1777" s="44"/>
      <c r="AB1777" s="65"/>
      <c r="AC1777" s="40"/>
    </row>
    <row r="1778" spans="1:29" hidden="1">
      <c r="A1778" s="751">
        <v>61804</v>
      </c>
      <c r="B1778" s="752" t="s">
        <v>35</v>
      </c>
      <c r="C1778" s="751" t="s">
        <v>2960</v>
      </c>
      <c r="D1778" s="752" t="s">
        <v>2416</v>
      </c>
      <c r="E1778" s="752" t="s">
        <v>2340</v>
      </c>
      <c r="F1778" s="751">
        <v>61012</v>
      </c>
      <c r="G1778" s="752" t="s">
        <v>59</v>
      </c>
      <c r="H1778" s="752" t="s">
        <v>1244</v>
      </c>
      <c r="I1778" s="752" t="s">
        <v>60</v>
      </c>
      <c r="J1778" s="751">
        <v>22</v>
      </c>
      <c r="K1778" s="751">
        <v>2</v>
      </c>
      <c r="L1778" s="752" t="s">
        <v>54</v>
      </c>
      <c r="M1778" s="752" t="s">
        <v>468</v>
      </c>
      <c r="N1778" s="752" t="s">
        <v>469</v>
      </c>
      <c r="O1778" s="752" t="s">
        <v>469</v>
      </c>
      <c r="P1778" s="752" t="s">
        <v>1238</v>
      </c>
      <c r="Q1778" s="753">
        <v>0</v>
      </c>
      <c r="R1778" s="753">
        <v>0</v>
      </c>
      <c r="S1778" s="753">
        <v>22599</v>
      </c>
      <c r="T1778" s="753">
        <v>22599</v>
      </c>
      <c r="U1778" s="753">
        <v>2538</v>
      </c>
      <c r="V1778" s="751">
        <v>2019</v>
      </c>
      <c r="W1778" s="222"/>
      <c r="X1778" s="186"/>
      <c r="Y1778" s="178" t="str">
        <f t="shared" si="84"/>
        <v/>
      </c>
      <c r="Z1778" s="178" t="str">
        <f t="shared" si="85"/>
        <v/>
      </c>
      <c r="AA1778" s="44"/>
      <c r="AB1778" s="65"/>
      <c r="AC1778" s="40"/>
    </row>
    <row r="1779" spans="1:29" hidden="1">
      <c r="A1779" s="751">
        <v>61814</v>
      </c>
      <c r="B1779" s="752" t="s">
        <v>35</v>
      </c>
      <c r="C1779" s="751" t="s">
        <v>2960</v>
      </c>
      <c r="D1779" s="752" t="s">
        <v>2535</v>
      </c>
      <c r="E1779" s="752" t="s">
        <v>2536</v>
      </c>
      <c r="F1779" s="751">
        <v>61428</v>
      </c>
      <c r="G1779" s="752" t="s">
        <v>83</v>
      </c>
      <c r="H1779" s="752" t="s">
        <v>1245</v>
      </c>
      <c r="I1779" s="752" t="s">
        <v>60</v>
      </c>
      <c r="J1779" s="751">
        <v>22</v>
      </c>
      <c r="K1779" s="751">
        <v>2</v>
      </c>
      <c r="L1779" s="752" t="s">
        <v>54</v>
      </c>
      <c r="M1779" s="752" t="s">
        <v>468</v>
      </c>
      <c r="N1779" s="752" t="s">
        <v>469</v>
      </c>
      <c r="O1779" s="752" t="s">
        <v>469</v>
      </c>
      <c r="P1779" s="752" t="s">
        <v>1238</v>
      </c>
      <c r="Q1779" s="753">
        <v>0</v>
      </c>
      <c r="R1779" s="753">
        <v>0</v>
      </c>
      <c r="S1779" s="753">
        <v>63297</v>
      </c>
      <c r="T1779" s="753">
        <v>63297</v>
      </c>
      <c r="U1779" s="753">
        <v>7109</v>
      </c>
      <c r="V1779" s="751">
        <v>2019</v>
      </c>
      <c r="W1779" s="222"/>
      <c r="X1779" s="186">
        <f>IF(OR(K1779&gt;3,T1779=0,NOT(U1779&gt;0)),"",T1779/U1779)</f>
        <v>8.903783935855957</v>
      </c>
      <c r="Y1779" s="178" t="str">
        <f t="shared" si="84"/>
        <v/>
      </c>
      <c r="Z1779" s="178" t="str">
        <f t="shared" si="85"/>
        <v/>
      </c>
      <c r="AA1779" s="44"/>
      <c r="AB1779" s="65"/>
      <c r="AC1779" s="40"/>
    </row>
    <row r="1780" spans="1:29" hidden="1">
      <c r="A1780" s="751">
        <v>61815</v>
      </c>
      <c r="B1780" s="752" t="s">
        <v>35</v>
      </c>
      <c r="C1780" s="751" t="s">
        <v>2960</v>
      </c>
      <c r="D1780" s="752" t="s">
        <v>2537</v>
      </c>
      <c r="E1780" s="752" t="s">
        <v>2538</v>
      </c>
      <c r="F1780" s="751">
        <v>61426</v>
      </c>
      <c r="G1780" s="752" t="s">
        <v>83</v>
      </c>
      <c r="H1780" s="752" t="s">
        <v>1245</v>
      </c>
      <c r="I1780" s="752" t="s">
        <v>60</v>
      </c>
      <c r="J1780" s="751">
        <v>22</v>
      </c>
      <c r="K1780" s="751">
        <v>2</v>
      </c>
      <c r="L1780" s="752" t="s">
        <v>54</v>
      </c>
      <c r="M1780" s="752" t="s">
        <v>468</v>
      </c>
      <c r="N1780" s="752" t="s">
        <v>469</v>
      </c>
      <c r="O1780" s="752" t="s">
        <v>469</v>
      </c>
      <c r="P1780" s="752" t="s">
        <v>1238</v>
      </c>
      <c r="Q1780" s="753">
        <v>0</v>
      </c>
      <c r="R1780" s="753">
        <v>0</v>
      </c>
      <c r="S1780" s="753">
        <v>32953</v>
      </c>
      <c r="T1780" s="753">
        <v>32953</v>
      </c>
      <c r="U1780" s="753">
        <v>3701</v>
      </c>
      <c r="V1780" s="751">
        <v>2019</v>
      </c>
      <c r="W1780" s="222"/>
      <c r="X1780" s="186"/>
      <c r="Y1780" s="178" t="str">
        <f t="shared" si="84"/>
        <v/>
      </c>
      <c r="Z1780" s="178" t="str">
        <f t="shared" si="85"/>
        <v/>
      </c>
      <c r="AA1780" s="44"/>
      <c r="AB1780" s="65"/>
      <c r="AC1780" s="40"/>
    </row>
    <row r="1781" spans="1:29" ht="25" hidden="1">
      <c r="A1781" s="751">
        <v>61820</v>
      </c>
      <c r="B1781" s="752" t="s">
        <v>35</v>
      </c>
      <c r="C1781" s="751" t="s">
        <v>2960</v>
      </c>
      <c r="D1781" s="752" t="s">
        <v>2417</v>
      </c>
      <c r="E1781" s="752" t="s">
        <v>2418</v>
      </c>
      <c r="F1781" s="751">
        <v>57389</v>
      </c>
      <c r="G1781" s="752" t="s">
        <v>43</v>
      </c>
      <c r="H1781" s="752" t="s">
        <v>1245</v>
      </c>
      <c r="I1781" s="752" t="s">
        <v>60</v>
      </c>
      <c r="J1781" s="751">
        <v>441</v>
      </c>
      <c r="K1781" s="751">
        <v>4</v>
      </c>
      <c r="L1781" s="752" t="s">
        <v>422</v>
      </c>
      <c r="M1781" s="752" t="s">
        <v>1322</v>
      </c>
      <c r="N1781" s="752" t="s">
        <v>41</v>
      </c>
      <c r="O1781" s="752" t="s">
        <v>41</v>
      </c>
      <c r="P1781" s="752" t="s">
        <v>1091</v>
      </c>
      <c r="Q1781" s="753">
        <v>25000</v>
      </c>
      <c r="R1781" s="753">
        <v>25000</v>
      </c>
      <c r="S1781" s="753">
        <v>20001</v>
      </c>
      <c r="T1781" s="753">
        <v>20001</v>
      </c>
      <c r="U1781" s="753">
        <v>2118</v>
      </c>
      <c r="V1781" s="751">
        <v>2019</v>
      </c>
      <c r="W1781" s="222"/>
      <c r="X1781" s="186"/>
      <c r="Y1781" s="178" t="str">
        <f t="shared" si="84"/>
        <v/>
      </c>
      <c r="Z1781" s="178" t="str">
        <f t="shared" si="85"/>
        <v/>
      </c>
      <c r="AA1781" s="44"/>
      <c r="AB1781" s="65"/>
      <c r="AC1781" s="40"/>
    </row>
    <row r="1782" spans="1:29" ht="25" hidden="1">
      <c r="A1782" s="751">
        <v>61820</v>
      </c>
      <c r="B1782" s="752" t="s">
        <v>35</v>
      </c>
      <c r="C1782" s="751" t="s">
        <v>2960</v>
      </c>
      <c r="D1782" s="752" t="s">
        <v>2417</v>
      </c>
      <c r="E1782" s="752" t="s">
        <v>2418</v>
      </c>
      <c r="F1782" s="751">
        <v>57389</v>
      </c>
      <c r="G1782" s="752" t="s">
        <v>43</v>
      </c>
      <c r="H1782" s="752" t="s">
        <v>1245</v>
      </c>
      <c r="I1782" s="752" t="s">
        <v>60</v>
      </c>
      <c r="J1782" s="751">
        <v>441</v>
      </c>
      <c r="K1782" s="751">
        <v>4</v>
      </c>
      <c r="L1782" s="752" t="s">
        <v>422</v>
      </c>
      <c r="M1782" s="752" t="s">
        <v>468</v>
      </c>
      <c r="N1782" s="752" t="s">
        <v>469</v>
      </c>
      <c r="O1782" s="752" t="s">
        <v>469</v>
      </c>
      <c r="P1782" s="752" t="s">
        <v>1238</v>
      </c>
      <c r="Q1782" s="753">
        <v>0</v>
      </c>
      <c r="R1782" s="753">
        <v>0</v>
      </c>
      <c r="S1782" s="753">
        <v>6286</v>
      </c>
      <c r="T1782" s="753">
        <v>6286</v>
      </c>
      <c r="U1782" s="753">
        <v>706</v>
      </c>
      <c r="V1782" s="751">
        <v>2019</v>
      </c>
      <c r="W1782" s="222"/>
      <c r="X1782" s="186"/>
      <c r="Y1782" s="178" t="str">
        <f t="shared" si="84"/>
        <v/>
      </c>
      <c r="Z1782" s="178" t="str">
        <f t="shared" si="85"/>
        <v/>
      </c>
      <c r="AA1782" s="44"/>
      <c r="AB1782" s="65"/>
      <c r="AC1782" s="40"/>
    </row>
    <row r="1783" spans="1:29" hidden="1">
      <c r="A1783" s="751">
        <v>61840</v>
      </c>
      <c r="B1783" s="752" t="s">
        <v>35</v>
      </c>
      <c r="C1783" s="751" t="s">
        <v>2960</v>
      </c>
      <c r="D1783" s="752" t="s">
        <v>3002</v>
      </c>
      <c r="E1783" s="752" t="s">
        <v>3002</v>
      </c>
      <c r="F1783" s="751">
        <v>61456</v>
      </c>
      <c r="G1783" s="752" t="s">
        <v>136</v>
      </c>
      <c r="H1783" s="752" t="s">
        <v>1245</v>
      </c>
      <c r="I1783" s="752" t="s">
        <v>60</v>
      </c>
      <c r="J1783" s="751">
        <v>22</v>
      </c>
      <c r="K1783" s="751">
        <v>2</v>
      </c>
      <c r="L1783" s="752" t="s">
        <v>54</v>
      </c>
      <c r="M1783" s="752" t="s">
        <v>468</v>
      </c>
      <c r="N1783" s="752" t="s">
        <v>469</v>
      </c>
      <c r="O1783" s="752" t="s">
        <v>469</v>
      </c>
      <c r="P1783" s="752" t="s">
        <v>1238</v>
      </c>
      <c r="Q1783" s="753">
        <v>0</v>
      </c>
      <c r="R1783" s="753">
        <v>0</v>
      </c>
      <c r="S1783" s="753">
        <v>22269</v>
      </c>
      <c r="T1783" s="753">
        <v>22269</v>
      </c>
      <c r="U1783" s="753">
        <v>2501</v>
      </c>
      <c r="V1783" s="751">
        <v>2019</v>
      </c>
      <c r="W1783" s="222"/>
      <c r="X1783" s="186">
        <f>IF(OR(K1783&gt;3,T1783=0,NOT(U1783&gt;0)),"",T1783/U1783)</f>
        <v>8.9040383846461424</v>
      </c>
      <c r="Y1783" s="178" t="str">
        <f t="shared" si="84"/>
        <v/>
      </c>
      <c r="Z1783" s="178" t="str">
        <f t="shared" si="85"/>
        <v/>
      </c>
      <c r="AA1783" s="44"/>
      <c r="AB1783" s="65"/>
      <c r="AC1783" s="40"/>
    </row>
    <row r="1784" spans="1:29" hidden="1">
      <c r="A1784" s="751">
        <v>61847</v>
      </c>
      <c r="B1784" s="752" t="s">
        <v>35</v>
      </c>
      <c r="C1784" s="751" t="s">
        <v>2960</v>
      </c>
      <c r="D1784" s="752" t="s">
        <v>2539</v>
      </c>
      <c r="E1784" s="752" t="s">
        <v>2157</v>
      </c>
      <c r="F1784" s="751">
        <v>60584</v>
      </c>
      <c r="G1784" s="752" t="s">
        <v>59</v>
      </c>
      <c r="H1784" s="752" t="s">
        <v>1244</v>
      </c>
      <c r="I1784" s="752" t="s">
        <v>60</v>
      </c>
      <c r="J1784" s="751">
        <v>22</v>
      </c>
      <c r="K1784" s="751">
        <v>2</v>
      </c>
      <c r="L1784" s="752" t="s">
        <v>54</v>
      </c>
      <c r="M1784" s="752" t="s">
        <v>468</v>
      </c>
      <c r="N1784" s="752" t="s">
        <v>469</v>
      </c>
      <c r="O1784" s="752" t="s">
        <v>469</v>
      </c>
      <c r="P1784" s="752" t="s">
        <v>1238</v>
      </c>
      <c r="Q1784" s="753">
        <v>0</v>
      </c>
      <c r="R1784" s="753">
        <v>0</v>
      </c>
      <c r="S1784" s="753">
        <v>28564</v>
      </c>
      <c r="T1784" s="753">
        <v>28564</v>
      </c>
      <c r="U1784" s="753">
        <v>3208</v>
      </c>
      <c r="V1784" s="751">
        <v>2019</v>
      </c>
      <c r="W1784" s="222"/>
      <c r="X1784" s="186"/>
      <c r="Y1784" s="178" t="str">
        <f t="shared" si="84"/>
        <v/>
      </c>
      <c r="Z1784" s="178" t="str">
        <f t="shared" si="85"/>
        <v/>
      </c>
      <c r="AA1784" s="44"/>
      <c r="AB1784" s="65"/>
      <c r="AC1784" s="40"/>
    </row>
    <row r="1785" spans="1:29" hidden="1">
      <c r="A1785" s="751">
        <v>61857</v>
      </c>
      <c r="B1785" s="752" t="s">
        <v>56</v>
      </c>
      <c r="C1785" s="751" t="s">
        <v>2960</v>
      </c>
      <c r="D1785" s="752" t="s">
        <v>2419</v>
      </c>
      <c r="E1785" s="752" t="s">
        <v>2420</v>
      </c>
      <c r="F1785" s="751">
        <v>61478</v>
      </c>
      <c r="G1785" s="752" t="s">
        <v>136</v>
      </c>
      <c r="H1785" s="752" t="s">
        <v>1245</v>
      </c>
      <c r="I1785" s="752" t="s">
        <v>60</v>
      </c>
      <c r="J1785" s="751">
        <v>326</v>
      </c>
      <c r="K1785" s="751">
        <v>7</v>
      </c>
      <c r="L1785" s="752" t="s">
        <v>419</v>
      </c>
      <c r="M1785" s="752" t="s">
        <v>52</v>
      </c>
      <c r="N1785" s="752" t="s">
        <v>48</v>
      </c>
      <c r="O1785" s="752" t="s">
        <v>48</v>
      </c>
      <c r="P1785" s="752" t="s">
        <v>49</v>
      </c>
      <c r="Q1785" s="753">
        <v>732</v>
      </c>
      <c r="R1785" s="753">
        <v>628</v>
      </c>
      <c r="S1785" s="753">
        <v>4392</v>
      </c>
      <c r="T1785" s="753">
        <v>3762</v>
      </c>
      <c r="U1785" s="753">
        <v>324.23200000000003</v>
      </c>
      <c r="V1785" s="751">
        <v>2019</v>
      </c>
      <c r="W1785" s="222"/>
      <c r="X1785" s="186"/>
      <c r="Y1785" s="178" t="str">
        <f t="shared" si="84"/>
        <v/>
      </c>
      <c r="Z1785" s="178">
        <f t="shared" si="85"/>
        <v>6.2712296544860875</v>
      </c>
      <c r="AA1785" s="44"/>
      <c r="AB1785" s="65"/>
      <c r="AC1785" s="40"/>
    </row>
    <row r="1786" spans="1:29" hidden="1">
      <c r="A1786" s="751">
        <v>61857</v>
      </c>
      <c r="B1786" s="752" t="s">
        <v>56</v>
      </c>
      <c r="C1786" s="751" t="s">
        <v>2960</v>
      </c>
      <c r="D1786" s="752" t="s">
        <v>2419</v>
      </c>
      <c r="E1786" s="752" t="s">
        <v>2420</v>
      </c>
      <c r="F1786" s="751">
        <v>61478</v>
      </c>
      <c r="G1786" s="752" t="s">
        <v>136</v>
      </c>
      <c r="H1786" s="752" t="s">
        <v>1245</v>
      </c>
      <c r="I1786" s="752" t="s">
        <v>60</v>
      </c>
      <c r="J1786" s="751">
        <v>326</v>
      </c>
      <c r="K1786" s="751">
        <v>7</v>
      </c>
      <c r="L1786" s="752" t="s">
        <v>419</v>
      </c>
      <c r="M1786" s="752" t="s">
        <v>52</v>
      </c>
      <c r="N1786" s="752" t="s">
        <v>41</v>
      </c>
      <c r="O1786" s="752" t="s">
        <v>41</v>
      </c>
      <c r="P1786" s="752" t="s">
        <v>1091</v>
      </c>
      <c r="Q1786" s="753">
        <v>771608</v>
      </c>
      <c r="R1786" s="753">
        <v>661077</v>
      </c>
      <c r="S1786" s="753">
        <v>771608</v>
      </c>
      <c r="T1786" s="753">
        <v>661077</v>
      </c>
      <c r="U1786" s="753">
        <v>56962.648000000001</v>
      </c>
      <c r="V1786" s="751">
        <v>2019</v>
      </c>
      <c r="W1786" s="222"/>
      <c r="X1786" s="186" t="str">
        <f>IF(OR(K1786&gt;3,T1786=0,NOT(U1786&gt;0)),"",T1786/U1786)</f>
        <v/>
      </c>
      <c r="Y1786" s="178">
        <f t="shared" si="84"/>
        <v>6.2712310341669149</v>
      </c>
      <c r="Z1786" s="178" t="str">
        <f t="shared" si="85"/>
        <v/>
      </c>
      <c r="AA1786" s="44"/>
      <c r="AB1786" s="65"/>
      <c r="AC1786" s="40"/>
    </row>
    <row r="1787" spans="1:29" hidden="1">
      <c r="A1787" s="751">
        <v>61857</v>
      </c>
      <c r="B1787" s="752" t="s">
        <v>56</v>
      </c>
      <c r="C1787" s="751" t="s">
        <v>2960</v>
      </c>
      <c r="D1787" s="752" t="s">
        <v>2419</v>
      </c>
      <c r="E1787" s="752" t="s">
        <v>2420</v>
      </c>
      <c r="F1787" s="751">
        <v>61478</v>
      </c>
      <c r="G1787" s="752" t="s">
        <v>136</v>
      </c>
      <c r="H1787" s="752" t="s">
        <v>1245</v>
      </c>
      <c r="I1787" s="752" t="s">
        <v>60</v>
      </c>
      <c r="J1787" s="751">
        <v>326</v>
      </c>
      <c r="K1787" s="751">
        <v>7</v>
      </c>
      <c r="L1787" s="752" t="s">
        <v>419</v>
      </c>
      <c r="M1787" s="752" t="s">
        <v>53</v>
      </c>
      <c r="N1787" s="752" t="s">
        <v>41</v>
      </c>
      <c r="O1787" s="752" t="s">
        <v>41</v>
      </c>
      <c r="P1787" s="752" t="s">
        <v>1091</v>
      </c>
      <c r="Q1787" s="753">
        <v>781067</v>
      </c>
      <c r="R1787" s="753">
        <v>781067</v>
      </c>
      <c r="S1787" s="753">
        <v>781067</v>
      </c>
      <c r="T1787" s="753">
        <v>781067</v>
      </c>
      <c r="U1787" s="753">
        <v>88260.76</v>
      </c>
      <c r="V1787" s="751">
        <v>2019</v>
      </c>
      <c r="W1787" s="222"/>
      <c r="X1787" s="186" t="str">
        <f>IF(OR(K1787&gt;3,T1787=0,NOT(U1787&gt;0)),"",T1787/U1787)</f>
        <v/>
      </c>
      <c r="Y1787" s="178" t="str">
        <f t="shared" si="84"/>
        <v/>
      </c>
      <c r="Z1787" s="178" t="str">
        <f t="shared" si="85"/>
        <v/>
      </c>
      <c r="AA1787" s="44"/>
      <c r="AB1787" s="65"/>
      <c r="AC1787" s="40"/>
    </row>
    <row r="1788" spans="1:29" hidden="1">
      <c r="A1788" s="751">
        <v>61863</v>
      </c>
      <c r="B1788" s="752" t="s">
        <v>35</v>
      </c>
      <c r="C1788" s="751" t="s">
        <v>2960</v>
      </c>
      <c r="D1788" s="752" t="s">
        <v>2540</v>
      </c>
      <c r="E1788" s="752" t="s">
        <v>2157</v>
      </c>
      <c r="F1788" s="751">
        <v>60584</v>
      </c>
      <c r="G1788" s="752" t="s">
        <v>59</v>
      </c>
      <c r="H1788" s="752" t="s">
        <v>1244</v>
      </c>
      <c r="I1788" s="752" t="s">
        <v>60</v>
      </c>
      <c r="J1788" s="751">
        <v>22</v>
      </c>
      <c r="K1788" s="751">
        <v>2</v>
      </c>
      <c r="L1788" s="752" t="s">
        <v>54</v>
      </c>
      <c r="M1788" s="752" t="s">
        <v>468</v>
      </c>
      <c r="N1788" s="752" t="s">
        <v>469</v>
      </c>
      <c r="O1788" s="752" t="s">
        <v>469</v>
      </c>
      <c r="P1788" s="752" t="s">
        <v>1238</v>
      </c>
      <c r="Q1788" s="753">
        <v>0</v>
      </c>
      <c r="R1788" s="753">
        <v>0</v>
      </c>
      <c r="S1788" s="753">
        <v>28129</v>
      </c>
      <c r="T1788" s="753">
        <v>28129</v>
      </c>
      <c r="U1788" s="753">
        <v>3159</v>
      </c>
      <c r="V1788" s="751">
        <v>2019</v>
      </c>
      <c r="W1788" s="222"/>
      <c r="X1788" s="186">
        <f>IF(OR(K1788&gt;3,T1788=0,NOT(U1788&gt;0)),"",T1788/U1788)</f>
        <v>8.9044001266223489</v>
      </c>
      <c r="Y1788" s="178" t="str">
        <f t="shared" si="84"/>
        <v/>
      </c>
      <c r="Z1788" s="178" t="str">
        <f t="shared" si="85"/>
        <v/>
      </c>
      <c r="AA1788" s="44"/>
      <c r="AB1788" s="65"/>
      <c r="AC1788" s="40"/>
    </row>
    <row r="1789" spans="1:29" hidden="1">
      <c r="A1789" s="751">
        <v>61888</v>
      </c>
      <c r="B1789" s="752" t="s">
        <v>35</v>
      </c>
      <c r="C1789" s="751" t="s">
        <v>2960</v>
      </c>
      <c r="D1789" s="752" t="s">
        <v>2541</v>
      </c>
      <c r="E1789" s="752" t="s">
        <v>2157</v>
      </c>
      <c r="F1789" s="751">
        <v>60584</v>
      </c>
      <c r="G1789" s="752" t="s">
        <v>59</v>
      </c>
      <c r="H1789" s="752" t="s">
        <v>1244</v>
      </c>
      <c r="I1789" s="752" t="s">
        <v>60</v>
      </c>
      <c r="J1789" s="751">
        <v>22</v>
      </c>
      <c r="K1789" s="751">
        <v>2</v>
      </c>
      <c r="L1789" s="752" t="s">
        <v>54</v>
      </c>
      <c r="M1789" s="752" t="s">
        <v>468</v>
      </c>
      <c r="N1789" s="752" t="s">
        <v>469</v>
      </c>
      <c r="O1789" s="752" t="s">
        <v>469</v>
      </c>
      <c r="P1789" s="752" t="s">
        <v>1238</v>
      </c>
      <c r="Q1789" s="753">
        <v>0</v>
      </c>
      <c r="R1789" s="753">
        <v>0</v>
      </c>
      <c r="S1789" s="753">
        <v>30328</v>
      </c>
      <c r="T1789" s="753">
        <v>30328</v>
      </c>
      <c r="U1789" s="753">
        <v>3406</v>
      </c>
      <c r="V1789" s="751">
        <v>2019</v>
      </c>
      <c r="W1789" s="222"/>
      <c r="X1789" s="186"/>
      <c r="Y1789" s="178" t="str">
        <f t="shared" si="84"/>
        <v/>
      </c>
      <c r="Z1789" s="178" t="str">
        <f t="shared" si="85"/>
        <v/>
      </c>
      <c r="AA1789" s="44"/>
      <c r="AB1789" s="65"/>
      <c r="AC1789" s="40"/>
    </row>
    <row r="1790" spans="1:29" hidden="1">
      <c r="A1790" s="751">
        <v>61898</v>
      </c>
      <c r="B1790" s="752" t="s">
        <v>35</v>
      </c>
      <c r="C1790" s="751" t="s">
        <v>2960</v>
      </c>
      <c r="D1790" s="752" t="s">
        <v>2542</v>
      </c>
      <c r="E1790" s="752" t="s">
        <v>2064</v>
      </c>
      <c r="F1790" s="751">
        <v>59474</v>
      </c>
      <c r="G1790" s="752" t="s">
        <v>59</v>
      </c>
      <c r="H1790" s="752" t="s">
        <v>1244</v>
      </c>
      <c r="I1790" s="752" t="s">
        <v>60</v>
      </c>
      <c r="J1790" s="751">
        <v>22</v>
      </c>
      <c r="K1790" s="751">
        <v>2</v>
      </c>
      <c r="L1790" s="752" t="s">
        <v>54</v>
      </c>
      <c r="M1790" s="752" t="s">
        <v>468</v>
      </c>
      <c r="N1790" s="752" t="s">
        <v>469</v>
      </c>
      <c r="O1790" s="752" t="s">
        <v>469</v>
      </c>
      <c r="P1790" s="752" t="s">
        <v>1238</v>
      </c>
      <c r="Q1790" s="753">
        <v>0</v>
      </c>
      <c r="R1790" s="753">
        <v>0</v>
      </c>
      <c r="S1790" s="753">
        <v>72266</v>
      </c>
      <c r="T1790" s="753">
        <v>72266</v>
      </c>
      <c r="U1790" s="753">
        <v>8116</v>
      </c>
      <c r="V1790" s="751">
        <v>2019</v>
      </c>
      <c r="W1790" s="222"/>
      <c r="X1790" s="186"/>
      <c r="Y1790" s="178" t="str">
        <f t="shared" si="84"/>
        <v/>
      </c>
      <c r="Z1790" s="178" t="str">
        <f t="shared" si="85"/>
        <v/>
      </c>
      <c r="AA1790" s="44"/>
      <c r="AB1790" s="65"/>
      <c r="AC1790" s="40"/>
    </row>
    <row r="1791" spans="1:29" hidden="1">
      <c r="A1791" s="751">
        <v>61899</v>
      </c>
      <c r="B1791" s="752" t="s">
        <v>35</v>
      </c>
      <c r="C1791" s="751" t="s">
        <v>2960</v>
      </c>
      <c r="D1791" s="752" t="s">
        <v>2543</v>
      </c>
      <c r="E1791" s="752" t="s">
        <v>2544</v>
      </c>
      <c r="F1791" s="751">
        <v>61514</v>
      </c>
      <c r="G1791" s="752" t="s">
        <v>59</v>
      </c>
      <c r="H1791" s="752" t="s">
        <v>1244</v>
      </c>
      <c r="I1791" s="752" t="s">
        <v>60</v>
      </c>
      <c r="J1791" s="751">
        <v>22</v>
      </c>
      <c r="K1791" s="751">
        <v>2</v>
      </c>
      <c r="L1791" s="752" t="s">
        <v>54</v>
      </c>
      <c r="M1791" s="752" t="s">
        <v>468</v>
      </c>
      <c r="N1791" s="752" t="s">
        <v>469</v>
      </c>
      <c r="O1791" s="752" t="s">
        <v>469</v>
      </c>
      <c r="P1791" s="752" t="s">
        <v>1238</v>
      </c>
      <c r="Q1791" s="753">
        <v>0</v>
      </c>
      <c r="R1791" s="753">
        <v>0</v>
      </c>
      <c r="S1791" s="753">
        <v>31439</v>
      </c>
      <c r="T1791" s="753">
        <v>31439</v>
      </c>
      <c r="U1791" s="753">
        <v>3531</v>
      </c>
      <c r="V1791" s="751">
        <v>2019</v>
      </c>
      <c r="W1791" s="222"/>
      <c r="X1791" s="186"/>
      <c r="Y1791" s="178" t="str">
        <f t="shared" si="84"/>
        <v/>
      </c>
      <c r="Z1791" s="178" t="str">
        <f t="shared" si="85"/>
        <v/>
      </c>
      <c r="AA1791" s="44"/>
      <c r="AB1791" s="65"/>
      <c r="AC1791" s="40"/>
    </row>
    <row r="1792" spans="1:29" hidden="1">
      <c r="A1792" s="751">
        <v>61900</v>
      </c>
      <c r="B1792" s="752" t="s">
        <v>35</v>
      </c>
      <c r="C1792" s="751" t="s">
        <v>2960</v>
      </c>
      <c r="D1792" s="752" t="s">
        <v>2545</v>
      </c>
      <c r="E1792" s="752" t="s">
        <v>2544</v>
      </c>
      <c r="F1792" s="751">
        <v>61514</v>
      </c>
      <c r="G1792" s="752" t="s">
        <v>59</v>
      </c>
      <c r="H1792" s="752" t="s">
        <v>1244</v>
      </c>
      <c r="I1792" s="752" t="s">
        <v>60</v>
      </c>
      <c r="J1792" s="751">
        <v>22</v>
      </c>
      <c r="K1792" s="751">
        <v>2</v>
      </c>
      <c r="L1792" s="752" t="s">
        <v>54</v>
      </c>
      <c r="M1792" s="752" t="s">
        <v>468</v>
      </c>
      <c r="N1792" s="752" t="s">
        <v>469</v>
      </c>
      <c r="O1792" s="752" t="s">
        <v>469</v>
      </c>
      <c r="P1792" s="752" t="s">
        <v>1238</v>
      </c>
      <c r="Q1792" s="753">
        <v>0</v>
      </c>
      <c r="R1792" s="753">
        <v>0</v>
      </c>
      <c r="S1792" s="753">
        <v>23069</v>
      </c>
      <c r="T1792" s="753">
        <v>23069</v>
      </c>
      <c r="U1792" s="753">
        <v>2591</v>
      </c>
      <c r="V1792" s="751">
        <v>2019</v>
      </c>
      <c r="W1792" s="222"/>
      <c r="X1792" s="186"/>
      <c r="Y1792" s="178" t="str">
        <f t="shared" si="84"/>
        <v/>
      </c>
      <c r="Z1792" s="178" t="str">
        <f t="shared" si="85"/>
        <v/>
      </c>
      <c r="AA1792" s="44"/>
      <c r="AB1792" s="65"/>
      <c r="AC1792" s="40"/>
    </row>
    <row r="1793" spans="1:29" hidden="1">
      <c r="A1793" s="751">
        <v>61902</v>
      </c>
      <c r="B1793" s="752" t="s">
        <v>35</v>
      </c>
      <c r="C1793" s="751" t="s">
        <v>2960</v>
      </c>
      <c r="D1793" s="752" t="s">
        <v>2546</v>
      </c>
      <c r="E1793" s="752" t="s">
        <v>2544</v>
      </c>
      <c r="F1793" s="751">
        <v>61514</v>
      </c>
      <c r="G1793" s="752" t="s">
        <v>59</v>
      </c>
      <c r="H1793" s="752" t="s">
        <v>1244</v>
      </c>
      <c r="I1793" s="752" t="s">
        <v>60</v>
      </c>
      <c r="J1793" s="751">
        <v>22</v>
      </c>
      <c r="K1793" s="751">
        <v>2</v>
      </c>
      <c r="L1793" s="752" t="s">
        <v>54</v>
      </c>
      <c r="M1793" s="752" t="s">
        <v>468</v>
      </c>
      <c r="N1793" s="752" t="s">
        <v>469</v>
      </c>
      <c r="O1793" s="752" t="s">
        <v>469</v>
      </c>
      <c r="P1793" s="752" t="s">
        <v>1238</v>
      </c>
      <c r="Q1793" s="753">
        <v>0</v>
      </c>
      <c r="R1793" s="753">
        <v>0</v>
      </c>
      <c r="S1793" s="753">
        <v>18307</v>
      </c>
      <c r="T1793" s="753">
        <v>18307</v>
      </c>
      <c r="U1793" s="753">
        <v>2056</v>
      </c>
      <c r="V1793" s="751">
        <v>2019</v>
      </c>
      <c r="W1793" s="222"/>
      <c r="X1793" s="186"/>
      <c r="Y1793" s="178" t="str">
        <f t="shared" si="84"/>
        <v/>
      </c>
      <c r="Z1793" s="178" t="str">
        <f t="shared" si="85"/>
        <v/>
      </c>
      <c r="AA1793" s="44"/>
      <c r="AB1793" s="65"/>
      <c r="AC1793" s="40"/>
    </row>
    <row r="1794" spans="1:29" hidden="1">
      <c r="A1794" s="751">
        <v>61903</v>
      </c>
      <c r="B1794" s="752" t="s">
        <v>35</v>
      </c>
      <c r="C1794" s="751" t="s">
        <v>2960</v>
      </c>
      <c r="D1794" s="752" t="s">
        <v>2547</v>
      </c>
      <c r="E1794" s="752" t="s">
        <v>2157</v>
      </c>
      <c r="F1794" s="751">
        <v>60584</v>
      </c>
      <c r="G1794" s="752" t="s">
        <v>59</v>
      </c>
      <c r="H1794" s="752" t="s">
        <v>1244</v>
      </c>
      <c r="I1794" s="752" t="s">
        <v>60</v>
      </c>
      <c r="J1794" s="751">
        <v>22</v>
      </c>
      <c r="K1794" s="751">
        <v>2</v>
      </c>
      <c r="L1794" s="752" t="s">
        <v>54</v>
      </c>
      <c r="M1794" s="752" t="s">
        <v>468</v>
      </c>
      <c r="N1794" s="752" t="s">
        <v>469</v>
      </c>
      <c r="O1794" s="752" t="s">
        <v>469</v>
      </c>
      <c r="P1794" s="752" t="s">
        <v>1238</v>
      </c>
      <c r="Q1794" s="753">
        <v>0</v>
      </c>
      <c r="R1794" s="753">
        <v>0</v>
      </c>
      <c r="S1794" s="753">
        <v>27059</v>
      </c>
      <c r="T1794" s="753">
        <v>27059</v>
      </c>
      <c r="U1794" s="753">
        <v>3039</v>
      </c>
      <c r="V1794" s="751">
        <v>2019</v>
      </c>
      <c r="W1794" s="222"/>
      <c r="X1794" s="186"/>
      <c r="Y1794" s="178" t="str">
        <f t="shared" si="84"/>
        <v/>
      </c>
      <c r="Z1794" s="178" t="str">
        <f t="shared" si="85"/>
        <v/>
      </c>
      <c r="AA1794" s="44"/>
      <c r="AB1794" s="65"/>
      <c r="AC1794" s="40"/>
    </row>
    <row r="1795" spans="1:29" hidden="1">
      <c r="A1795" s="751">
        <v>61904</v>
      </c>
      <c r="B1795" s="752" t="s">
        <v>35</v>
      </c>
      <c r="C1795" s="751" t="s">
        <v>2960</v>
      </c>
      <c r="D1795" s="752" t="s">
        <v>2548</v>
      </c>
      <c r="E1795" s="752" t="s">
        <v>2157</v>
      </c>
      <c r="F1795" s="751">
        <v>60584</v>
      </c>
      <c r="G1795" s="752" t="s">
        <v>59</v>
      </c>
      <c r="H1795" s="752" t="s">
        <v>1244</v>
      </c>
      <c r="I1795" s="752" t="s">
        <v>60</v>
      </c>
      <c r="J1795" s="751">
        <v>22</v>
      </c>
      <c r="K1795" s="751">
        <v>2</v>
      </c>
      <c r="L1795" s="752" t="s">
        <v>54</v>
      </c>
      <c r="M1795" s="752" t="s">
        <v>468</v>
      </c>
      <c r="N1795" s="752" t="s">
        <v>469</v>
      </c>
      <c r="O1795" s="752" t="s">
        <v>469</v>
      </c>
      <c r="P1795" s="752" t="s">
        <v>1238</v>
      </c>
      <c r="Q1795" s="753">
        <v>0</v>
      </c>
      <c r="R1795" s="753">
        <v>0</v>
      </c>
      <c r="S1795" s="753">
        <v>28307</v>
      </c>
      <c r="T1795" s="753">
        <v>28307</v>
      </c>
      <c r="U1795" s="753">
        <v>3179</v>
      </c>
      <c r="V1795" s="751">
        <v>2019</v>
      </c>
      <c r="W1795" s="222"/>
      <c r="X1795" s="186"/>
      <c r="Y1795" s="178" t="str">
        <f t="shared" si="84"/>
        <v/>
      </c>
      <c r="Z1795" s="178" t="str">
        <f t="shared" si="85"/>
        <v/>
      </c>
      <c r="AA1795" s="44"/>
      <c r="AB1795" s="65"/>
      <c r="AC1795" s="40"/>
    </row>
    <row r="1796" spans="1:29" hidden="1">
      <c r="A1796" s="751">
        <v>61905</v>
      </c>
      <c r="B1796" s="752" t="s">
        <v>35</v>
      </c>
      <c r="C1796" s="751" t="s">
        <v>2960</v>
      </c>
      <c r="D1796" s="752" t="s">
        <v>2549</v>
      </c>
      <c r="E1796" s="752" t="s">
        <v>2157</v>
      </c>
      <c r="F1796" s="751">
        <v>60584</v>
      </c>
      <c r="G1796" s="752" t="s">
        <v>59</v>
      </c>
      <c r="H1796" s="752" t="s">
        <v>1244</v>
      </c>
      <c r="I1796" s="752" t="s">
        <v>60</v>
      </c>
      <c r="J1796" s="751">
        <v>22</v>
      </c>
      <c r="K1796" s="751">
        <v>2</v>
      </c>
      <c r="L1796" s="752" t="s">
        <v>54</v>
      </c>
      <c r="M1796" s="752" t="s">
        <v>468</v>
      </c>
      <c r="N1796" s="752" t="s">
        <v>469</v>
      </c>
      <c r="O1796" s="752" t="s">
        <v>469</v>
      </c>
      <c r="P1796" s="752" t="s">
        <v>1238</v>
      </c>
      <c r="Q1796" s="753">
        <v>0</v>
      </c>
      <c r="R1796" s="753">
        <v>0</v>
      </c>
      <c r="S1796" s="753">
        <v>28173</v>
      </c>
      <c r="T1796" s="753">
        <v>28173</v>
      </c>
      <c r="U1796" s="753">
        <v>3164</v>
      </c>
      <c r="V1796" s="751">
        <v>2019</v>
      </c>
      <c r="W1796" s="222"/>
      <c r="X1796" s="186"/>
      <c r="Y1796" s="178" t="str">
        <f t="shared" si="84"/>
        <v/>
      </c>
      <c r="Z1796" s="178" t="str">
        <f t="shared" si="85"/>
        <v/>
      </c>
      <c r="AA1796" s="44"/>
      <c r="AB1796" s="65"/>
      <c r="AC1796" s="40"/>
    </row>
    <row r="1797" spans="1:29" hidden="1">
      <c r="A1797" s="751">
        <v>61917</v>
      </c>
      <c r="B1797" s="752" t="s">
        <v>35</v>
      </c>
      <c r="C1797" s="751" t="s">
        <v>2960</v>
      </c>
      <c r="D1797" s="752" t="s">
        <v>2550</v>
      </c>
      <c r="E1797" s="752" t="s">
        <v>2551</v>
      </c>
      <c r="F1797" s="751">
        <v>61520</v>
      </c>
      <c r="G1797" s="752" t="s">
        <v>59</v>
      </c>
      <c r="H1797" s="752" t="s">
        <v>1244</v>
      </c>
      <c r="I1797" s="752" t="s">
        <v>60</v>
      </c>
      <c r="J1797" s="751">
        <v>22</v>
      </c>
      <c r="K1797" s="751">
        <v>2</v>
      </c>
      <c r="L1797" s="752" t="s">
        <v>54</v>
      </c>
      <c r="M1797" s="752" t="s">
        <v>468</v>
      </c>
      <c r="N1797" s="752" t="s">
        <v>469</v>
      </c>
      <c r="O1797" s="752" t="s">
        <v>469</v>
      </c>
      <c r="P1797" s="752" t="s">
        <v>1238</v>
      </c>
      <c r="Q1797" s="753">
        <v>0</v>
      </c>
      <c r="R1797" s="753">
        <v>0</v>
      </c>
      <c r="S1797" s="753">
        <v>19537</v>
      </c>
      <c r="T1797" s="753">
        <v>19537</v>
      </c>
      <c r="U1797" s="753">
        <v>2194</v>
      </c>
      <c r="V1797" s="751">
        <v>2019</v>
      </c>
      <c r="W1797" s="222"/>
      <c r="X1797" s="186"/>
      <c r="Y1797" s="178" t="str">
        <f t="shared" si="84"/>
        <v/>
      </c>
      <c r="Z1797" s="178" t="str">
        <f t="shared" si="85"/>
        <v/>
      </c>
      <c r="AA1797" s="44"/>
      <c r="AB1797" s="65"/>
      <c r="AC1797" s="40"/>
    </row>
    <row r="1798" spans="1:29" hidden="1">
      <c r="A1798" s="751">
        <v>61922</v>
      </c>
      <c r="B1798" s="752" t="s">
        <v>35</v>
      </c>
      <c r="C1798" s="751" t="s">
        <v>2960</v>
      </c>
      <c r="D1798" s="752" t="s">
        <v>2552</v>
      </c>
      <c r="E1798" s="752" t="s">
        <v>2064</v>
      </c>
      <c r="F1798" s="751">
        <v>59474</v>
      </c>
      <c r="G1798" s="752" t="s">
        <v>59</v>
      </c>
      <c r="H1798" s="752" t="s">
        <v>1244</v>
      </c>
      <c r="I1798" s="752" t="s">
        <v>60</v>
      </c>
      <c r="J1798" s="751">
        <v>22</v>
      </c>
      <c r="K1798" s="751">
        <v>2</v>
      </c>
      <c r="L1798" s="752" t="s">
        <v>54</v>
      </c>
      <c r="M1798" s="752" t="s">
        <v>468</v>
      </c>
      <c r="N1798" s="752" t="s">
        <v>469</v>
      </c>
      <c r="O1798" s="752" t="s">
        <v>469</v>
      </c>
      <c r="P1798" s="752" t="s">
        <v>1238</v>
      </c>
      <c r="Q1798" s="753">
        <v>0</v>
      </c>
      <c r="R1798" s="753">
        <v>0</v>
      </c>
      <c r="S1798" s="753">
        <v>29545</v>
      </c>
      <c r="T1798" s="753">
        <v>29545</v>
      </c>
      <c r="U1798" s="753">
        <v>3318</v>
      </c>
      <c r="V1798" s="751">
        <v>2019</v>
      </c>
      <c r="W1798" s="222"/>
      <c r="X1798" s="186"/>
      <c r="Y1798" s="178" t="str">
        <f t="shared" si="84"/>
        <v/>
      </c>
      <c r="Z1798" s="178" t="str">
        <f t="shared" si="85"/>
        <v/>
      </c>
      <c r="AA1798" s="44"/>
      <c r="AB1798" s="65"/>
      <c r="AC1798" s="40"/>
    </row>
    <row r="1799" spans="1:29" hidden="1">
      <c r="A1799" s="751">
        <v>61928</v>
      </c>
      <c r="B1799" s="752" t="s">
        <v>35</v>
      </c>
      <c r="C1799" s="751" t="s">
        <v>2960</v>
      </c>
      <c r="D1799" s="752" t="s">
        <v>2553</v>
      </c>
      <c r="E1799" s="752" t="s">
        <v>2286</v>
      </c>
      <c r="F1799" s="751">
        <v>61060</v>
      </c>
      <c r="G1799" s="752" t="s">
        <v>91</v>
      </c>
      <c r="H1799" s="752" t="s">
        <v>1245</v>
      </c>
      <c r="I1799" s="752" t="s">
        <v>60</v>
      </c>
      <c r="J1799" s="751">
        <v>22</v>
      </c>
      <c r="K1799" s="751">
        <v>2</v>
      </c>
      <c r="L1799" s="752" t="s">
        <v>54</v>
      </c>
      <c r="M1799" s="752" t="s">
        <v>468</v>
      </c>
      <c r="N1799" s="752" t="s">
        <v>469</v>
      </c>
      <c r="O1799" s="752" t="s">
        <v>469</v>
      </c>
      <c r="P1799" s="752" t="s">
        <v>1238</v>
      </c>
      <c r="Q1799" s="753">
        <v>0</v>
      </c>
      <c r="R1799" s="753">
        <v>0</v>
      </c>
      <c r="S1799" s="753">
        <v>54993</v>
      </c>
      <c r="T1799" s="753">
        <v>54993</v>
      </c>
      <c r="U1799" s="753">
        <v>6176</v>
      </c>
      <c r="V1799" s="751">
        <v>2019</v>
      </c>
      <c r="W1799" s="222"/>
      <c r="X1799" s="186"/>
      <c r="Y1799" s="178" t="str">
        <f t="shared" ref="Y1799:Y1862" si="86">IF(AND($M1799=$Y$2,$N1799=$Y$3,NOT($Q1799=$R1799),NOT($U1799=0)),IF($K1799=5,$S1799/($U1799+(8/5)*$U1799),IF($K1799=7,$S1799/($U1799+(29/25)*$U1799),"")),"")</f>
        <v/>
      </c>
      <c r="Z1799" s="178" t="str">
        <f t="shared" ref="Z1799:Z1862" si="87">IF(AND($M1799=$Y$2,$N1799=$Y$4,NOT($Q1799=$R1799),NOT($U1799=0)),IF($K1799=5,$S1799/($U1799+(8/5)*$U1799),IF($K1799=7,$S1799/($U1799+(29/25)*$U1799),"")),"")</f>
        <v/>
      </c>
      <c r="AA1799" s="44"/>
      <c r="AB1799" s="65"/>
      <c r="AC1799" s="40"/>
    </row>
    <row r="1800" spans="1:29" hidden="1">
      <c r="A1800" s="751">
        <v>61958</v>
      </c>
      <c r="B1800" s="752" t="s">
        <v>35</v>
      </c>
      <c r="C1800" s="751" t="s">
        <v>2960</v>
      </c>
      <c r="D1800" s="752" t="s">
        <v>2554</v>
      </c>
      <c r="E1800" s="752" t="s">
        <v>2340</v>
      </c>
      <c r="F1800" s="751">
        <v>61012</v>
      </c>
      <c r="G1800" s="752" t="s">
        <v>59</v>
      </c>
      <c r="H1800" s="752" t="s">
        <v>1244</v>
      </c>
      <c r="I1800" s="752" t="s">
        <v>60</v>
      </c>
      <c r="J1800" s="751">
        <v>22</v>
      </c>
      <c r="K1800" s="751">
        <v>2</v>
      </c>
      <c r="L1800" s="752" t="s">
        <v>54</v>
      </c>
      <c r="M1800" s="752" t="s">
        <v>468</v>
      </c>
      <c r="N1800" s="752" t="s">
        <v>469</v>
      </c>
      <c r="O1800" s="752" t="s">
        <v>469</v>
      </c>
      <c r="P1800" s="752" t="s">
        <v>1238</v>
      </c>
      <c r="Q1800" s="753">
        <v>0</v>
      </c>
      <c r="R1800" s="753">
        <v>0</v>
      </c>
      <c r="S1800" s="753">
        <v>18493</v>
      </c>
      <c r="T1800" s="753">
        <v>18493</v>
      </c>
      <c r="U1800" s="753">
        <v>2077</v>
      </c>
      <c r="V1800" s="751">
        <v>2019</v>
      </c>
      <c r="W1800" s="222"/>
      <c r="X1800" s="186"/>
      <c r="Y1800" s="178" t="str">
        <f t="shared" si="86"/>
        <v/>
      </c>
      <c r="Z1800" s="178" t="str">
        <f t="shared" si="87"/>
        <v/>
      </c>
      <c r="AA1800" s="44"/>
      <c r="AB1800" s="65"/>
      <c r="AC1800" s="40"/>
    </row>
    <row r="1801" spans="1:29" hidden="1">
      <c r="A1801" s="751">
        <v>61959</v>
      </c>
      <c r="B1801" s="752" t="s">
        <v>35</v>
      </c>
      <c r="C1801" s="751" t="s">
        <v>2960</v>
      </c>
      <c r="D1801" s="752" t="s">
        <v>2555</v>
      </c>
      <c r="E1801" s="752" t="s">
        <v>2556</v>
      </c>
      <c r="F1801" s="751">
        <v>61540</v>
      </c>
      <c r="G1801" s="752" t="s">
        <v>91</v>
      </c>
      <c r="H1801" s="752" t="s">
        <v>1245</v>
      </c>
      <c r="I1801" s="752" t="s">
        <v>60</v>
      </c>
      <c r="J1801" s="751">
        <v>22</v>
      </c>
      <c r="K1801" s="751">
        <v>2</v>
      </c>
      <c r="L1801" s="752" t="s">
        <v>54</v>
      </c>
      <c r="M1801" s="752" t="s">
        <v>468</v>
      </c>
      <c r="N1801" s="752" t="s">
        <v>469</v>
      </c>
      <c r="O1801" s="752" t="s">
        <v>469</v>
      </c>
      <c r="P1801" s="752" t="s">
        <v>1238</v>
      </c>
      <c r="Q1801" s="753">
        <v>0</v>
      </c>
      <c r="R1801" s="753">
        <v>0</v>
      </c>
      <c r="S1801" s="753">
        <v>235494</v>
      </c>
      <c r="T1801" s="753">
        <v>235494</v>
      </c>
      <c r="U1801" s="753">
        <v>26448</v>
      </c>
      <c r="V1801" s="751">
        <v>2019</v>
      </c>
      <c r="W1801" s="222"/>
      <c r="X1801" s="186"/>
      <c r="Y1801" s="178" t="str">
        <f t="shared" si="86"/>
        <v/>
      </c>
      <c r="Z1801" s="178" t="str">
        <f t="shared" si="87"/>
        <v/>
      </c>
      <c r="AA1801" s="44"/>
      <c r="AB1801" s="65"/>
      <c r="AC1801" s="40"/>
    </row>
    <row r="1802" spans="1:29" ht="25" hidden="1">
      <c r="A1802" s="751">
        <v>62001</v>
      </c>
      <c r="B1802" s="752" t="s">
        <v>35</v>
      </c>
      <c r="C1802" s="751" t="s">
        <v>2960</v>
      </c>
      <c r="D1802" s="752" t="s">
        <v>2557</v>
      </c>
      <c r="E1802" s="752" t="s">
        <v>2557</v>
      </c>
      <c r="F1802" s="751">
        <v>61578</v>
      </c>
      <c r="G1802" s="752" t="s">
        <v>59</v>
      </c>
      <c r="H1802" s="752" t="s">
        <v>1244</v>
      </c>
      <c r="I1802" s="752" t="s">
        <v>60</v>
      </c>
      <c r="J1802" s="751">
        <v>622</v>
      </c>
      <c r="K1802" s="751">
        <v>4</v>
      </c>
      <c r="L1802" s="752" t="s">
        <v>422</v>
      </c>
      <c r="M1802" s="752" t="s">
        <v>53</v>
      </c>
      <c r="N1802" s="752" t="s">
        <v>48</v>
      </c>
      <c r="O1802" s="752" t="s">
        <v>48</v>
      </c>
      <c r="P1802" s="752" t="s">
        <v>49</v>
      </c>
      <c r="Q1802" s="753">
        <v>163</v>
      </c>
      <c r="R1802" s="753">
        <v>163</v>
      </c>
      <c r="S1802" s="753">
        <v>898</v>
      </c>
      <c r="T1802" s="753">
        <v>898</v>
      </c>
      <c r="U1802" s="753">
        <v>11</v>
      </c>
      <c r="V1802" s="751">
        <v>2019</v>
      </c>
      <c r="W1802" s="222"/>
      <c r="X1802" s="186"/>
      <c r="Y1802" s="178" t="str">
        <f t="shared" si="86"/>
        <v/>
      </c>
      <c r="Z1802" s="178" t="str">
        <f t="shared" si="87"/>
        <v/>
      </c>
      <c r="AA1802" s="44"/>
      <c r="AB1802" s="65"/>
      <c r="AC1802" s="40"/>
    </row>
    <row r="1803" spans="1:29" ht="25" hidden="1">
      <c r="A1803" s="751">
        <v>62002</v>
      </c>
      <c r="B1803" s="752" t="s">
        <v>35</v>
      </c>
      <c r="C1803" s="751" t="s">
        <v>2960</v>
      </c>
      <c r="D1803" s="752" t="s">
        <v>2558</v>
      </c>
      <c r="E1803" s="752" t="s">
        <v>2558</v>
      </c>
      <c r="F1803" s="751">
        <v>61584</v>
      </c>
      <c r="G1803" s="752" t="s">
        <v>59</v>
      </c>
      <c r="H1803" s="752" t="s">
        <v>1244</v>
      </c>
      <c r="I1803" s="752" t="s">
        <v>60</v>
      </c>
      <c r="J1803" s="751">
        <v>622</v>
      </c>
      <c r="K1803" s="751">
        <v>4</v>
      </c>
      <c r="L1803" s="752" t="s">
        <v>422</v>
      </c>
      <c r="M1803" s="752" t="s">
        <v>53</v>
      </c>
      <c r="N1803" s="752" t="s">
        <v>48</v>
      </c>
      <c r="O1803" s="752" t="s">
        <v>48</v>
      </c>
      <c r="P1803" s="752" t="s">
        <v>49</v>
      </c>
      <c r="Q1803" s="753">
        <v>6</v>
      </c>
      <c r="R1803" s="753">
        <v>6</v>
      </c>
      <c r="S1803" s="753">
        <v>34</v>
      </c>
      <c r="T1803" s="753">
        <v>34</v>
      </c>
      <c r="U1803" s="753">
        <v>5</v>
      </c>
      <c r="V1803" s="751">
        <v>2019</v>
      </c>
      <c r="W1803" s="222"/>
      <c r="X1803" s="186" t="str">
        <f>IF(OR(K1803&gt;3,T1803=0,NOT(U1803&gt;0)),"",T1803/U1803)</f>
        <v/>
      </c>
      <c r="Y1803" s="178" t="str">
        <f t="shared" si="86"/>
        <v/>
      </c>
      <c r="Z1803" s="178" t="str">
        <f t="shared" si="87"/>
        <v/>
      </c>
      <c r="AA1803" s="44"/>
      <c r="AB1803" s="65"/>
      <c r="AC1803" s="40"/>
    </row>
    <row r="1804" spans="1:29" ht="25" hidden="1">
      <c r="A1804" s="751">
        <v>62003</v>
      </c>
      <c r="B1804" s="752" t="s">
        <v>35</v>
      </c>
      <c r="C1804" s="751" t="s">
        <v>2960</v>
      </c>
      <c r="D1804" s="752" t="s">
        <v>2559</v>
      </c>
      <c r="E1804" s="752" t="s">
        <v>2559</v>
      </c>
      <c r="F1804" s="751">
        <v>61577</v>
      </c>
      <c r="G1804" s="752" t="s">
        <v>59</v>
      </c>
      <c r="H1804" s="752" t="s">
        <v>1244</v>
      </c>
      <c r="I1804" s="752" t="s">
        <v>60</v>
      </c>
      <c r="J1804" s="751">
        <v>622</v>
      </c>
      <c r="K1804" s="751">
        <v>4</v>
      </c>
      <c r="L1804" s="752" t="s">
        <v>422</v>
      </c>
      <c r="M1804" s="752" t="s">
        <v>53</v>
      </c>
      <c r="N1804" s="752" t="s">
        <v>48</v>
      </c>
      <c r="O1804" s="752" t="s">
        <v>48</v>
      </c>
      <c r="P1804" s="752" t="s">
        <v>49</v>
      </c>
      <c r="Q1804" s="753">
        <v>39</v>
      </c>
      <c r="R1804" s="753">
        <v>39</v>
      </c>
      <c r="S1804" s="753">
        <v>215</v>
      </c>
      <c r="T1804" s="753">
        <v>215</v>
      </c>
      <c r="U1804" s="753">
        <v>15</v>
      </c>
      <c r="V1804" s="751">
        <v>2019</v>
      </c>
      <c r="W1804" s="222"/>
      <c r="X1804" s="186" t="str">
        <f>IF(OR(K1804&gt;3,T1804=0,NOT(U1804&gt;0)),"",T1804/U1804)</f>
        <v/>
      </c>
      <c r="Y1804" s="178" t="str">
        <f t="shared" si="86"/>
        <v/>
      </c>
      <c r="Z1804" s="178" t="str">
        <f t="shared" si="87"/>
        <v/>
      </c>
      <c r="AA1804" s="44"/>
      <c r="AB1804" s="65"/>
      <c r="AC1804" s="40"/>
    </row>
    <row r="1805" spans="1:29" hidden="1">
      <c r="A1805" s="751">
        <v>62017</v>
      </c>
      <c r="B1805" s="752" t="s">
        <v>35</v>
      </c>
      <c r="C1805" s="751" t="s">
        <v>2960</v>
      </c>
      <c r="D1805" s="752" t="s">
        <v>3003</v>
      </c>
      <c r="E1805" s="752" t="s">
        <v>1957</v>
      </c>
      <c r="F1805" s="751">
        <v>58661</v>
      </c>
      <c r="G1805" s="752" t="s">
        <v>59</v>
      </c>
      <c r="H1805" s="752" t="s">
        <v>1244</v>
      </c>
      <c r="I1805" s="752" t="s">
        <v>60</v>
      </c>
      <c r="J1805" s="751">
        <v>22</v>
      </c>
      <c r="K1805" s="751">
        <v>2</v>
      </c>
      <c r="L1805" s="752" t="s">
        <v>54</v>
      </c>
      <c r="M1805" s="752" t="s">
        <v>468</v>
      </c>
      <c r="N1805" s="752" t="s">
        <v>469</v>
      </c>
      <c r="O1805" s="752" t="s">
        <v>469</v>
      </c>
      <c r="P1805" s="752" t="s">
        <v>1238</v>
      </c>
      <c r="Q1805" s="753">
        <v>0</v>
      </c>
      <c r="R1805" s="753">
        <v>0</v>
      </c>
      <c r="S1805" s="753">
        <v>141386</v>
      </c>
      <c r="T1805" s="753">
        <v>141386</v>
      </c>
      <c r="U1805" s="753">
        <v>15879</v>
      </c>
      <c r="V1805" s="751">
        <v>2019</v>
      </c>
      <c r="W1805" s="222"/>
      <c r="X1805" s="186">
        <f>IF(OR(K1805&gt;3,T1805=0,NOT(U1805&gt;0)),"",T1805/U1805)</f>
        <v>8.9039612066251017</v>
      </c>
      <c r="Y1805" s="178" t="str">
        <f t="shared" si="86"/>
        <v/>
      </c>
      <c r="Z1805" s="178" t="str">
        <f t="shared" si="87"/>
        <v/>
      </c>
      <c r="AA1805" s="44"/>
      <c r="AB1805" s="65"/>
      <c r="AC1805" s="40"/>
    </row>
    <row r="1806" spans="1:29" hidden="1">
      <c r="A1806" s="751">
        <v>62021</v>
      </c>
      <c r="B1806" s="752" t="s">
        <v>35</v>
      </c>
      <c r="C1806" s="751" t="s">
        <v>2960</v>
      </c>
      <c r="D1806" s="752" t="s">
        <v>2560</v>
      </c>
      <c r="E1806" s="752" t="s">
        <v>2085</v>
      </c>
      <c r="F1806" s="751">
        <v>58135</v>
      </c>
      <c r="G1806" s="752" t="s">
        <v>43</v>
      </c>
      <c r="H1806" s="752" t="s">
        <v>1245</v>
      </c>
      <c r="I1806" s="752" t="s">
        <v>60</v>
      </c>
      <c r="J1806" s="751">
        <v>22</v>
      </c>
      <c r="K1806" s="751">
        <v>2</v>
      </c>
      <c r="L1806" s="752" t="s">
        <v>54</v>
      </c>
      <c r="M1806" s="752" t="s">
        <v>468</v>
      </c>
      <c r="N1806" s="752" t="s">
        <v>469</v>
      </c>
      <c r="O1806" s="752" t="s">
        <v>469</v>
      </c>
      <c r="P1806" s="752" t="s">
        <v>1238</v>
      </c>
      <c r="Q1806" s="753">
        <v>0</v>
      </c>
      <c r="R1806" s="753">
        <v>0</v>
      </c>
      <c r="S1806" s="753">
        <v>13802</v>
      </c>
      <c r="T1806" s="753">
        <v>13802</v>
      </c>
      <c r="U1806" s="753">
        <v>1550</v>
      </c>
      <c r="V1806" s="751">
        <v>2019</v>
      </c>
      <c r="W1806" s="222"/>
      <c r="X1806" s="186"/>
      <c r="Y1806" s="178" t="str">
        <f t="shared" si="86"/>
        <v/>
      </c>
      <c r="Z1806" s="178" t="str">
        <f t="shared" si="87"/>
        <v/>
      </c>
      <c r="AA1806" s="44"/>
      <c r="AB1806" s="65"/>
      <c r="AC1806" s="40"/>
    </row>
    <row r="1807" spans="1:29" hidden="1">
      <c r="A1807" s="751">
        <v>62023</v>
      </c>
      <c r="B1807" s="752" t="s">
        <v>35</v>
      </c>
      <c r="C1807" s="751" t="s">
        <v>2960</v>
      </c>
      <c r="D1807" s="752" t="s">
        <v>1678</v>
      </c>
      <c r="E1807" s="752" t="s">
        <v>2085</v>
      </c>
      <c r="F1807" s="751">
        <v>58135</v>
      </c>
      <c r="G1807" s="752" t="s">
        <v>43</v>
      </c>
      <c r="H1807" s="752" t="s">
        <v>1245</v>
      </c>
      <c r="I1807" s="752" t="s">
        <v>60</v>
      </c>
      <c r="J1807" s="751">
        <v>22</v>
      </c>
      <c r="K1807" s="751">
        <v>2</v>
      </c>
      <c r="L1807" s="752" t="s">
        <v>54</v>
      </c>
      <c r="M1807" s="752" t="s">
        <v>468</v>
      </c>
      <c r="N1807" s="752" t="s">
        <v>469</v>
      </c>
      <c r="O1807" s="752" t="s">
        <v>469</v>
      </c>
      <c r="P1807" s="752" t="s">
        <v>1238</v>
      </c>
      <c r="Q1807" s="753">
        <v>0</v>
      </c>
      <c r="R1807" s="753">
        <v>0</v>
      </c>
      <c r="S1807" s="753">
        <v>13845</v>
      </c>
      <c r="T1807" s="753">
        <v>13845</v>
      </c>
      <c r="U1807" s="753">
        <v>1555</v>
      </c>
      <c r="V1807" s="751">
        <v>2019</v>
      </c>
      <c r="W1807" s="222"/>
      <c r="X1807" s="186"/>
      <c r="Y1807" s="178" t="str">
        <f t="shared" si="86"/>
        <v/>
      </c>
      <c r="Z1807" s="178" t="str">
        <f t="shared" si="87"/>
        <v/>
      </c>
      <c r="AA1807" s="44"/>
      <c r="AB1807" s="65"/>
      <c r="AC1807" s="40"/>
    </row>
    <row r="1808" spans="1:29" hidden="1">
      <c r="A1808" s="751">
        <v>62024</v>
      </c>
      <c r="B1808" s="752" t="s">
        <v>35</v>
      </c>
      <c r="C1808" s="751" t="s">
        <v>2960</v>
      </c>
      <c r="D1808" s="752" t="s">
        <v>2561</v>
      </c>
      <c r="E1808" s="752" t="s">
        <v>2085</v>
      </c>
      <c r="F1808" s="751">
        <v>58135</v>
      </c>
      <c r="G1808" s="752" t="s">
        <v>43</v>
      </c>
      <c r="H1808" s="752" t="s">
        <v>1245</v>
      </c>
      <c r="I1808" s="752" t="s">
        <v>60</v>
      </c>
      <c r="J1808" s="751">
        <v>22</v>
      </c>
      <c r="K1808" s="751">
        <v>2</v>
      </c>
      <c r="L1808" s="752" t="s">
        <v>54</v>
      </c>
      <c r="M1808" s="752" t="s">
        <v>468</v>
      </c>
      <c r="N1808" s="752" t="s">
        <v>469</v>
      </c>
      <c r="O1808" s="752" t="s">
        <v>469</v>
      </c>
      <c r="P1808" s="752" t="s">
        <v>1238</v>
      </c>
      <c r="Q1808" s="753">
        <v>0</v>
      </c>
      <c r="R1808" s="753">
        <v>0</v>
      </c>
      <c r="S1808" s="753">
        <v>13685</v>
      </c>
      <c r="T1808" s="753">
        <v>13685</v>
      </c>
      <c r="U1808" s="753">
        <v>1537</v>
      </c>
      <c r="V1808" s="751">
        <v>2019</v>
      </c>
      <c r="W1808" s="222"/>
      <c r="X1808" s="186"/>
      <c r="Y1808" s="178" t="str">
        <f t="shared" si="86"/>
        <v/>
      </c>
      <c r="Z1808" s="178" t="str">
        <f t="shared" si="87"/>
        <v/>
      </c>
      <c r="AA1808" s="44"/>
      <c r="AB1808" s="65"/>
      <c r="AC1808" s="40"/>
    </row>
    <row r="1809" spans="1:29" hidden="1">
      <c r="A1809" s="751">
        <v>62025</v>
      </c>
      <c r="B1809" s="752" t="s">
        <v>35</v>
      </c>
      <c r="C1809" s="751" t="s">
        <v>2960</v>
      </c>
      <c r="D1809" s="752" t="s">
        <v>2562</v>
      </c>
      <c r="E1809" s="752" t="s">
        <v>2085</v>
      </c>
      <c r="F1809" s="751">
        <v>58135</v>
      </c>
      <c r="G1809" s="752" t="s">
        <v>43</v>
      </c>
      <c r="H1809" s="752" t="s">
        <v>1245</v>
      </c>
      <c r="I1809" s="752" t="s">
        <v>60</v>
      </c>
      <c r="J1809" s="751">
        <v>22</v>
      </c>
      <c r="K1809" s="751">
        <v>2</v>
      </c>
      <c r="L1809" s="752" t="s">
        <v>54</v>
      </c>
      <c r="M1809" s="752" t="s">
        <v>468</v>
      </c>
      <c r="N1809" s="752" t="s">
        <v>469</v>
      </c>
      <c r="O1809" s="752" t="s">
        <v>469</v>
      </c>
      <c r="P1809" s="752" t="s">
        <v>1238</v>
      </c>
      <c r="Q1809" s="753">
        <v>0</v>
      </c>
      <c r="R1809" s="753">
        <v>0</v>
      </c>
      <c r="S1809" s="753">
        <v>13817</v>
      </c>
      <c r="T1809" s="753">
        <v>13817</v>
      </c>
      <c r="U1809" s="753">
        <v>1552</v>
      </c>
      <c r="V1809" s="751">
        <v>2019</v>
      </c>
      <c r="W1809" s="222"/>
      <c r="X1809" s="186"/>
      <c r="Y1809" s="178" t="str">
        <f t="shared" si="86"/>
        <v/>
      </c>
      <c r="Z1809" s="178" t="str">
        <f t="shared" si="87"/>
        <v/>
      </c>
      <c r="AA1809" s="44"/>
      <c r="AB1809" s="65"/>
      <c r="AC1809" s="40"/>
    </row>
    <row r="1810" spans="1:29" hidden="1">
      <c r="A1810" s="751">
        <v>62026</v>
      </c>
      <c r="B1810" s="752" t="s">
        <v>35</v>
      </c>
      <c r="C1810" s="751" t="s">
        <v>2960</v>
      </c>
      <c r="D1810" s="752" t="s">
        <v>2563</v>
      </c>
      <c r="E1810" s="752" t="s">
        <v>2085</v>
      </c>
      <c r="F1810" s="751">
        <v>58135</v>
      </c>
      <c r="G1810" s="752" t="s">
        <v>43</v>
      </c>
      <c r="H1810" s="752" t="s">
        <v>1245</v>
      </c>
      <c r="I1810" s="752" t="s">
        <v>60</v>
      </c>
      <c r="J1810" s="751">
        <v>22</v>
      </c>
      <c r="K1810" s="751">
        <v>2</v>
      </c>
      <c r="L1810" s="752" t="s">
        <v>54</v>
      </c>
      <c r="M1810" s="752" t="s">
        <v>468</v>
      </c>
      <c r="N1810" s="752" t="s">
        <v>469</v>
      </c>
      <c r="O1810" s="752" t="s">
        <v>469</v>
      </c>
      <c r="P1810" s="752" t="s">
        <v>1238</v>
      </c>
      <c r="Q1810" s="753">
        <v>0</v>
      </c>
      <c r="R1810" s="753">
        <v>0</v>
      </c>
      <c r="S1810" s="753">
        <v>13490</v>
      </c>
      <c r="T1810" s="753">
        <v>13490</v>
      </c>
      <c r="U1810" s="753">
        <v>1515</v>
      </c>
      <c r="V1810" s="751">
        <v>2019</v>
      </c>
      <c r="W1810" s="222"/>
      <c r="X1810" s="186"/>
      <c r="Y1810" s="178" t="str">
        <f t="shared" si="86"/>
        <v/>
      </c>
      <c r="Z1810" s="178" t="str">
        <f t="shared" si="87"/>
        <v/>
      </c>
      <c r="AA1810" s="44"/>
      <c r="AB1810" s="65"/>
      <c r="AC1810" s="40"/>
    </row>
    <row r="1811" spans="1:29" hidden="1">
      <c r="A1811" s="751">
        <v>62029</v>
      </c>
      <c r="B1811" s="752" t="s">
        <v>35</v>
      </c>
      <c r="C1811" s="751" t="s">
        <v>2960</v>
      </c>
      <c r="D1811" s="752" t="s">
        <v>2564</v>
      </c>
      <c r="E1811" s="752" t="s">
        <v>2564</v>
      </c>
      <c r="F1811" s="751">
        <v>61599</v>
      </c>
      <c r="G1811" s="752" t="s">
        <v>59</v>
      </c>
      <c r="H1811" s="752" t="s">
        <v>1244</v>
      </c>
      <c r="I1811" s="752" t="s">
        <v>60</v>
      </c>
      <c r="J1811" s="751">
        <v>22</v>
      </c>
      <c r="K1811" s="751">
        <v>2</v>
      </c>
      <c r="L1811" s="752" t="s">
        <v>54</v>
      </c>
      <c r="M1811" s="752" t="s">
        <v>468</v>
      </c>
      <c r="N1811" s="752" t="s">
        <v>469</v>
      </c>
      <c r="O1811" s="752" t="s">
        <v>469</v>
      </c>
      <c r="P1811" s="752" t="s">
        <v>1238</v>
      </c>
      <c r="Q1811" s="753">
        <v>0</v>
      </c>
      <c r="R1811" s="753">
        <v>0</v>
      </c>
      <c r="S1811" s="753">
        <v>20703</v>
      </c>
      <c r="T1811" s="753">
        <v>20703</v>
      </c>
      <c r="U1811" s="753">
        <v>2325</v>
      </c>
      <c r="V1811" s="751">
        <v>2019</v>
      </c>
      <c r="W1811" s="222"/>
      <c r="X1811" s="186"/>
      <c r="Y1811" s="178" t="str">
        <f t="shared" si="86"/>
        <v/>
      </c>
      <c r="Z1811" s="178" t="str">
        <f t="shared" si="87"/>
        <v/>
      </c>
      <c r="AA1811" s="44"/>
      <c r="AB1811" s="65"/>
      <c r="AC1811" s="40"/>
    </row>
    <row r="1812" spans="1:29" hidden="1">
      <c r="A1812" s="751">
        <v>62034</v>
      </c>
      <c r="B1812" s="752" t="s">
        <v>35</v>
      </c>
      <c r="C1812" s="751" t="s">
        <v>2960</v>
      </c>
      <c r="D1812" s="752" t="s">
        <v>2565</v>
      </c>
      <c r="E1812" s="752" t="s">
        <v>2566</v>
      </c>
      <c r="F1812" s="751">
        <v>61610</v>
      </c>
      <c r="G1812" s="752" t="s">
        <v>59</v>
      </c>
      <c r="H1812" s="752" t="s">
        <v>1244</v>
      </c>
      <c r="I1812" s="752" t="s">
        <v>60</v>
      </c>
      <c r="J1812" s="751">
        <v>22</v>
      </c>
      <c r="K1812" s="751">
        <v>2</v>
      </c>
      <c r="L1812" s="752" t="s">
        <v>54</v>
      </c>
      <c r="M1812" s="752" t="s">
        <v>468</v>
      </c>
      <c r="N1812" s="752" t="s">
        <v>469</v>
      </c>
      <c r="O1812" s="752" t="s">
        <v>469</v>
      </c>
      <c r="P1812" s="752" t="s">
        <v>1238</v>
      </c>
      <c r="Q1812" s="753">
        <v>0</v>
      </c>
      <c r="R1812" s="753">
        <v>0</v>
      </c>
      <c r="S1812" s="753">
        <v>27158</v>
      </c>
      <c r="T1812" s="753">
        <v>27158</v>
      </c>
      <c r="U1812" s="753">
        <v>3050</v>
      </c>
      <c r="V1812" s="751">
        <v>2019</v>
      </c>
      <c r="W1812" s="222"/>
      <c r="X1812" s="186"/>
      <c r="Y1812" s="178" t="str">
        <f t="shared" si="86"/>
        <v/>
      </c>
      <c r="Z1812" s="178" t="str">
        <f t="shared" si="87"/>
        <v/>
      </c>
      <c r="AA1812" s="44"/>
      <c r="AB1812" s="65"/>
      <c r="AC1812" s="40"/>
    </row>
    <row r="1813" spans="1:29" ht="25" hidden="1">
      <c r="A1813" s="751">
        <v>62050</v>
      </c>
      <c r="B1813" s="752" t="s">
        <v>35</v>
      </c>
      <c r="C1813" s="751" t="s">
        <v>2960</v>
      </c>
      <c r="D1813" s="752" t="s">
        <v>2567</v>
      </c>
      <c r="E1813" s="752" t="s">
        <v>2567</v>
      </c>
      <c r="F1813" s="751">
        <v>61618</v>
      </c>
      <c r="G1813" s="752" t="s">
        <v>59</v>
      </c>
      <c r="H1813" s="752" t="s">
        <v>1244</v>
      </c>
      <c r="I1813" s="752" t="s">
        <v>60</v>
      </c>
      <c r="J1813" s="751">
        <v>622</v>
      </c>
      <c r="K1813" s="751">
        <v>4</v>
      </c>
      <c r="L1813" s="752" t="s">
        <v>422</v>
      </c>
      <c r="M1813" s="752" t="s">
        <v>53</v>
      </c>
      <c r="N1813" s="752" t="s">
        <v>48</v>
      </c>
      <c r="O1813" s="752" t="s">
        <v>48</v>
      </c>
      <c r="P1813" s="752" t="s">
        <v>49</v>
      </c>
      <c r="Q1813" s="753">
        <v>57</v>
      </c>
      <c r="R1813" s="753">
        <v>57</v>
      </c>
      <c r="S1813" s="753">
        <v>314</v>
      </c>
      <c r="T1813" s="753">
        <v>314</v>
      </c>
      <c r="U1813" s="753">
        <v>5</v>
      </c>
      <c r="V1813" s="751">
        <v>2019</v>
      </c>
      <c r="W1813" s="222"/>
      <c r="X1813" s="186" t="str">
        <f>IF(OR(K1813&gt;3,T1813=0,NOT(U1813&gt;0)),"",T1813/U1813)</f>
        <v/>
      </c>
      <c r="Y1813" s="178" t="str">
        <f t="shared" si="86"/>
        <v/>
      </c>
      <c r="Z1813" s="178" t="str">
        <f t="shared" si="87"/>
        <v/>
      </c>
      <c r="AA1813" s="44"/>
      <c r="AB1813" s="65"/>
      <c r="AC1813" s="40"/>
    </row>
    <row r="1814" spans="1:29" ht="25" hidden="1">
      <c r="A1814" s="751">
        <v>62051</v>
      </c>
      <c r="B1814" s="752" t="s">
        <v>35</v>
      </c>
      <c r="C1814" s="751" t="s">
        <v>2960</v>
      </c>
      <c r="D1814" s="752" t="s">
        <v>2568</v>
      </c>
      <c r="E1814" s="752" t="s">
        <v>2568</v>
      </c>
      <c r="F1814" s="751">
        <v>61619</v>
      </c>
      <c r="G1814" s="752" t="s">
        <v>59</v>
      </c>
      <c r="H1814" s="752" t="s">
        <v>1244</v>
      </c>
      <c r="I1814" s="752" t="s">
        <v>60</v>
      </c>
      <c r="J1814" s="751">
        <v>622</v>
      </c>
      <c r="K1814" s="751">
        <v>4</v>
      </c>
      <c r="L1814" s="752" t="s">
        <v>422</v>
      </c>
      <c r="M1814" s="752" t="s">
        <v>53</v>
      </c>
      <c r="N1814" s="752" t="s">
        <v>48</v>
      </c>
      <c r="O1814" s="752" t="s">
        <v>48</v>
      </c>
      <c r="P1814" s="752" t="s">
        <v>49</v>
      </c>
      <c r="Q1814" s="753">
        <v>52</v>
      </c>
      <c r="R1814" s="753">
        <v>52</v>
      </c>
      <c r="S1814" s="753">
        <v>287</v>
      </c>
      <c r="T1814" s="753">
        <v>287</v>
      </c>
      <c r="U1814" s="753">
        <v>29</v>
      </c>
      <c r="V1814" s="751">
        <v>2019</v>
      </c>
      <c r="W1814" s="222"/>
      <c r="X1814" s="186" t="str">
        <f>IF(OR(K1814&gt;3,T1814=0,NOT(U1814&gt;0)),"",T1814/U1814)</f>
        <v/>
      </c>
      <c r="Y1814" s="178" t="str">
        <f t="shared" si="86"/>
        <v/>
      </c>
      <c r="Z1814" s="178" t="str">
        <f t="shared" si="87"/>
        <v/>
      </c>
      <c r="AA1814" s="44"/>
      <c r="AB1814" s="65"/>
      <c r="AC1814" s="40"/>
    </row>
    <row r="1815" spans="1:29" hidden="1">
      <c r="A1815" s="751">
        <v>62055</v>
      </c>
      <c r="B1815" s="752" t="s">
        <v>35</v>
      </c>
      <c r="C1815" s="751" t="s">
        <v>2960</v>
      </c>
      <c r="D1815" s="752" t="s">
        <v>2569</v>
      </c>
      <c r="E1815" s="752" t="s">
        <v>2570</v>
      </c>
      <c r="F1815" s="751">
        <v>54913</v>
      </c>
      <c r="G1815" s="752" t="s">
        <v>83</v>
      </c>
      <c r="H1815" s="752" t="s">
        <v>1245</v>
      </c>
      <c r="I1815" s="752" t="s">
        <v>60</v>
      </c>
      <c r="J1815" s="751">
        <v>22</v>
      </c>
      <c r="K1815" s="751">
        <v>1</v>
      </c>
      <c r="L1815" s="752" t="s">
        <v>36</v>
      </c>
      <c r="M1815" s="752" t="s">
        <v>468</v>
      </c>
      <c r="N1815" s="752" t="s">
        <v>469</v>
      </c>
      <c r="O1815" s="752" t="s">
        <v>469</v>
      </c>
      <c r="P1815" s="752" t="s">
        <v>1238</v>
      </c>
      <c r="Q1815" s="753">
        <v>0</v>
      </c>
      <c r="R1815" s="753">
        <v>0</v>
      </c>
      <c r="S1815" s="753">
        <v>50628</v>
      </c>
      <c r="T1815" s="753">
        <v>50628</v>
      </c>
      <c r="U1815" s="753">
        <v>5686</v>
      </c>
      <c r="V1815" s="751">
        <v>2019</v>
      </c>
      <c r="W1815" s="222"/>
      <c r="X1815" s="186"/>
      <c r="Y1815" s="178" t="str">
        <f t="shared" si="86"/>
        <v/>
      </c>
      <c r="Z1815" s="178" t="str">
        <f t="shared" si="87"/>
        <v/>
      </c>
      <c r="AA1815" s="44"/>
      <c r="AB1815" s="65"/>
      <c r="AC1815" s="40"/>
    </row>
    <row r="1816" spans="1:29" hidden="1">
      <c r="A1816" s="751">
        <v>62059</v>
      </c>
      <c r="B1816" s="752" t="s">
        <v>35</v>
      </c>
      <c r="C1816" s="751" t="s">
        <v>2960</v>
      </c>
      <c r="D1816" s="752" t="s">
        <v>2571</v>
      </c>
      <c r="E1816" s="752" t="s">
        <v>2570</v>
      </c>
      <c r="F1816" s="751">
        <v>54913</v>
      </c>
      <c r="G1816" s="752" t="s">
        <v>83</v>
      </c>
      <c r="H1816" s="752" t="s">
        <v>1245</v>
      </c>
      <c r="I1816" s="752" t="s">
        <v>60</v>
      </c>
      <c r="J1816" s="751">
        <v>22</v>
      </c>
      <c r="K1816" s="751">
        <v>1</v>
      </c>
      <c r="L1816" s="752" t="s">
        <v>36</v>
      </c>
      <c r="M1816" s="752" t="s">
        <v>468</v>
      </c>
      <c r="N1816" s="752" t="s">
        <v>469</v>
      </c>
      <c r="O1816" s="752" t="s">
        <v>469</v>
      </c>
      <c r="P1816" s="752" t="s">
        <v>1238</v>
      </c>
      <c r="Q1816" s="753">
        <v>0</v>
      </c>
      <c r="R1816" s="753">
        <v>0</v>
      </c>
      <c r="S1816" s="753">
        <v>3767</v>
      </c>
      <c r="T1816" s="753">
        <v>3767</v>
      </c>
      <c r="U1816" s="753">
        <v>423</v>
      </c>
      <c r="V1816" s="751">
        <v>2019</v>
      </c>
      <c r="W1816" s="222"/>
      <c r="X1816" s="186"/>
      <c r="Y1816" s="178" t="str">
        <f t="shared" si="86"/>
        <v/>
      </c>
      <c r="Z1816" s="178" t="str">
        <f t="shared" si="87"/>
        <v/>
      </c>
      <c r="AA1816" s="44"/>
      <c r="AB1816" s="65"/>
      <c r="AC1816" s="40"/>
    </row>
    <row r="1817" spans="1:29" hidden="1">
      <c r="A1817" s="751">
        <v>62063</v>
      </c>
      <c r="B1817" s="752" t="s">
        <v>35</v>
      </c>
      <c r="C1817" s="751" t="s">
        <v>2960</v>
      </c>
      <c r="D1817" s="752" t="s">
        <v>3004</v>
      </c>
      <c r="E1817" s="752" t="s">
        <v>2570</v>
      </c>
      <c r="F1817" s="751">
        <v>54913</v>
      </c>
      <c r="G1817" s="752" t="s">
        <v>83</v>
      </c>
      <c r="H1817" s="752" t="s">
        <v>1245</v>
      </c>
      <c r="I1817" s="752" t="s">
        <v>60</v>
      </c>
      <c r="J1817" s="751">
        <v>22</v>
      </c>
      <c r="K1817" s="751">
        <v>1</v>
      </c>
      <c r="L1817" s="752" t="s">
        <v>36</v>
      </c>
      <c r="M1817" s="752" t="s">
        <v>468</v>
      </c>
      <c r="N1817" s="752" t="s">
        <v>469</v>
      </c>
      <c r="O1817" s="752" t="s">
        <v>469</v>
      </c>
      <c r="P1817" s="752" t="s">
        <v>1238</v>
      </c>
      <c r="Q1817" s="753">
        <v>0</v>
      </c>
      <c r="R1817" s="753">
        <v>0</v>
      </c>
      <c r="S1817" s="753">
        <v>24066</v>
      </c>
      <c r="T1817" s="753">
        <v>24066</v>
      </c>
      <c r="U1817" s="753">
        <v>2703</v>
      </c>
      <c r="V1817" s="751">
        <v>2019</v>
      </c>
      <c r="W1817" s="222"/>
      <c r="X1817" s="186"/>
      <c r="Y1817" s="178" t="str">
        <f t="shared" si="86"/>
        <v/>
      </c>
      <c r="Z1817" s="178" t="str">
        <f t="shared" si="87"/>
        <v/>
      </c>
      <c r="AA1817" s="44"/>
      <c r="AB1817" s="65"/>
      <c r="AC1817" s="40"/>
    </row>
    <row r="1818" spans="1:29" hidden="1">
      <c r="A1818" s="751">
        <v>62064</v>
      </c>
      <c r="B1818" s="752" t="s">
        <v>35</v>
      </c>
      <c r="C1818" s="751" t="s">
        <v>2960</v>
      </c>
      <c r="D1818" s="752" t="s">
        <v>3005</v>
      </c>
      <c r="E1818" s="752" t="s">
        <v>2570</v>
      </c>
      <c r="F1818" s="751">
        <v>54913</v>
      </c>
      <c r="G1818" s="752" t="s">
        <v>83</v>
      </c>
      <c r="H1818" s="752" t="s">
        <v>1245</v>
      </c>
      <c r="I1818" s="752" t="s">
        <v>60</v>
      </c>
      <c r="J1818" s="751">
        <v>22</v>
      </c>
      <c r="K1818" s="751">
        <v>1</v>
      </c>
      <c r="L1818" s="752" t="s">
        <v>36</v>
      </c>
      <c r="M1818" s="752" t="s">
        <v>468</v>
      </c>
      <c r="N1818" s="752" t="s">
        <v>469</v>
      </c>
      <c r="O1818" s="752" t="s">
        <v>469</v>
      </c>
      <c r="P1818" s="752" t="s">
        <v>1238</v>
      </c>
      <c r="Q1818" s="753">
        <v>0</v>
      </c>
      <c r="R1818" s="753">
        <v>0</v>
      </c>
      <c r="S1818" s="753">
        <v>22357</v>
      </c>
      <c r="T1818" s="753">
        <v>22357</v>
      </c>
      <c r="U1818" s="753">
        <v>2511</v>
      </c>
      <c r="V1818" s="751">
        <v>2019</v>
      </c>
      <c r="W1818" s="222"/>
      <c r="X1818" s="186"/>
      <c r="Y1818" s="178" t="str">
        <f t="shared" si="86"/>
        <v/>
      </c>
      <c r="Z1818" s="178" t="str">
        <f t="shared" si="87"/>
        <v/>
      </c>
      <c r="AA1818" s="44"/>
      <c r="AB1818" s="65"/>
      <c r="AC1818" s="40"/>
    </row>
    <row r="1819" spans="1:29" hidden="1">
      <c r="A1819" s="751">
        <v>62065</v>
      </c>
      <c r="B1819" s="752" t="s">
        <v>35</v>
      </c>
      <c r="C1819" s="751" t="s">
        <v>2960</v>
      </c>
      <c r="D1819" s="752" t="s">
        <v>3006</v>
      </c>
      <c r="E1819" s="752" t="s">
        <v>2570</v>
      </c>
      <c r="F1819" s="751">
        <v>54913</v>
      </c>
      <c r="G1819" s="752" t="s">
        <v>83</v>
      </c>
      <c r="H1819" s="752" t="s">
        <v>1245</v>
      </c>
      <c r="I1819" s="752" t="s">
        <v>60</v>
      </c>
      <c r="J1819" s="751">
        <v>22</v>
      </c>
      <c r="K1819" s="751">
        <v>1</v>
      </c>
      <c r="L1819" s="752" t="s">
        <v>36</v>
      </c>
      <c r="M1819" s="752" t="s">
        <v>468</v>
      </c>
      <c r="N1819" s="752" t="s">
        <v>469</v>
      </c>
      <c r="O1819" s="752" t="s">
        <v>469</v>
      </c>
      <c r="P1819" s="752" t="s">
        <v>1238</v>
      </c>
      <c r="Q1819" s="753">
        <v>0</v>
      </c>
      <c r="R1819" s="753">
        <v>0</v>
      </c>
      <c r="S1819" s="753">
        <v>23722</v>
      </c>
      <c r="T1819" s="753">
        <v>23722</v>
      </c>
      <c r="U1819" s="753">
        <v>2664</v>
      </c>
      <c r="V1819" s="751">
        <v>2019</v>
      </c>
      <c r="W1819" s="222"/>
      <c r="X1819" s="186"/>
      <c r="Y1819" s="178" t="str">
        <f t="shared" si="86"/>
        <v/>
      </c>
      <c r="Z1819" s="178" t="str">
        <f t="shared" si="87"/>
        <v/>
      </c>
      <c r="AA1819" s="44"/>
      <c r="AB1819" s="65"/>
      <c r="AC1819" s="40"/>
    </row>
    <row r="1820" spans="1:29" hidden="1">
      <c r="A1820" s="751">
        <v>62066</v>
      </c>
      <c r="B1820" s="752" t="s">
        <v>35</v>
      </c>
      <c r="C1820" s="751" t="s">
        <v>2960</v>
      </c>
      <c r="D1820" s="752" t="s">
        <v>3007</v>
      </c>
      <c r="E1820" s="752" t="s">
        <v>2570</v>
      </c>
      <c r="F1820" s="751">
        <v>54913</v>
      </c>
      <c r="G1820" s="752" t="s">
        <v>83</v>
      </c>
      <c r="H1820" s="752" t="s">
        <v>1245</v>
      </c>
      <c r="I1820" s="752" t="s">
        <v>60</v>
      </c>
      <c r="J1820" s="751">
        <v>22</v>
      </c>
      <c r="K1820" s="751">
        <v>1</v>
      </c>
      <c r="L1820" s="752" t="s">
        <v>36</v>
      </c>
      <c r="M1820" s="752" t="s">
        <v>468</v>
      </c>
      <c r="N1820" s="752" t="s">
        <v>469</v>
      </c>
      <c r="O1820" s="752" t="s">
        <v>469</v>
      </c>
      <c r="P1820" s="752" t="s">
        <v>1238</v>
      </c>
      <c r="Q1820" s="753">
        <v>0</v>
      </c>
      <c r="R1820" s="753">
        <v>0</v>
      </c>
      <c r="S1820" s="753">
        <v>24940</v>
      </c>
      <c r="T1820" s="753">
        <v>24940</v>
      </c>
      <c r="U1820" s="753">
        <v>2801</v>
      </c>
      <c r="V1820" s="751">
        <v>2019</v>
      </c>
      <c r="W1820" s="222"/>
      <c r="X1820" s="186"/>
      <c r="Y1820" s="178" t="str">
        <f t="shared" si="86"/>
        <v/>
      </c>
      <c r="Z1820" s="178" t="str">
        <f t="shared" si="87"/>
        <v/>
      </c>
      <c r="AA1820" s="44"/>
      <c r="AB1820" s="65"/>
      <c r="AC1820" s="40"/>
    </row>
    <row r="1821" spans="1:29" hidden="1">
      <c r="A1821" s="751">
        <v>62072</v>
      </c>
      <c r="B1821" s="752" t="s">
        <v>35</v>
      </c>
      <c r="C1821" s="751" t="s">
        <v>2960</v>
      </c>
      <c r="D1821" s="752" t="s">
        <v>3008</v>
      </c>
      <c r="E1821" s="752" t="s">
        <v>2570</v>
      </c>
      <c r="F1821" s="751">
        <v>54913</v>
      </c>
      <c r="G1821" s="752" t="s">
        <v>83</v>
      </c>
      <c r="H1821" s="752" t="s">
        <v>1245</v>
      </c>
      <c r="I1821" s="752" t="s">
        <v>60</v>
      </c>
      <c r="J1821" s="751">
        <v>22</v>
      </c>
      <c r="K1821" s="751">
        <v>1</v>
      </c>
      <c r="L1821" s="752" t="s">
        <v>36</v>
      </c>
      <c r="M1821" s="752" t="s">
        <v>468</v>
      </c>
      <c r="N1821" s="752" t="s">
        <v>469</v>
      </c>
      <c r="O1821" s="752" t="s">
        <v>469</v>
      </c>
      <c r="P1821" s="752" t="s">
        <v>1238</v>
      </c>
      <c r="Q1821" s="753">
        <v>0</v>
      </c>
      <c r="R1821" s="753">
        <v>0</v>
      </c>
      <c r="S1821" s="753">
        <v>49782</v>
      </c>
      <c r="T1821" s="753">
        <v>49782</v>
      </c>
      <c r="U1821" s="753">
        <v>5591</v>
      </c>
      <c r="V1821" s="751">
        <v>2019</v>
      </c>
      <c r="W1821" s="222"/>
      <c r="X1821" s="186"/>
      <c r="Y1821" s="178" t="str">
        <f t="shared" si="86"/>
        <v/>
      </c>
      <c r="Z1821" s="178" t="str">
        <f t="shared" si="87"/>
        <v/>
      </c>
      <c r="AA1821" s="44"/>
      <c r="AB1821" s="65"/>
      <c r="AC1821" s="40"/>
    </row>
    <row r="1822" spans="1:29" hidden="1">
      <c r="A1822" s="751">
        <v>62073</v>
      </c>
      <c r="B1822" s="752" t="s">
        <v>35</v>
      </c>
      <c r="C1822" s="751" t="s">
        <v>2960</v>
      </c>
      <c r="D1822" s="752" t="s">
        <v>3009</v>
      </c>
      <c r="E1822" s="752" t="s">
        <v>2570</v>
      </c>
      <c r="F1822" s="751">
        <v>54913</v>
      </c>
      <c r="G1822" s="752" t="s">
        <v>83</v>
      </c>
      <c r="H1822" s="752" t="s">
        <v>1245</v>
      </c>
      <c r="I1822" s="752" t="s">
        <v>60</v>
      </c>
      <c r="J1822" s="751">
        <v>22</v>
      </c>
      <c r="K1822" s="751">
        <v>1</v>
      </c>
      <c r="L1822" s="752" t="s">
        <v>36</v>
      </c>
      <c r="M1822" s="752" t="s">
        <v>468</v>
      </c>
      <c r="N1822" s="752" t="s">
        <v>469</v>
      </c>
      <c r="O1822" s="752" t="s">
        <v>469</v>
      </c>
      <c r="P1822" s="752" t="s">
        <v>1238</v>
      </c>
      <c r="Q1822" s="753">
        <v>0</v>
      </c>
      <c r="R1822" s="753">
        <v>0</v>
      </c>
      <c r="S1822" s="753">
        <v>1166</v>
      </c>
      <c r="T1822" s="753">
        <v>1166</v>
      </c>
      <c r="U1822" s="753">
        <v>131</v>
      </c>
      <c r="V1822" s="751">
        <v>2019</v>
      </c>
      <c r="W1822" s="222"/>
      <c r="X1822" s="186"/>
      <c r="Y1822" s="178" t="str">
        <f t="shared" si="86"/>
        <v/>
      </c>
      <c r="Z1822" s="178" t="str">
        <f t="shared" si="87"/>
        <v/>
      </c>
      <c r="AA1822" s="44"/>
      <c r="AB1822" s="65"/>
      <c r="AC1822" s="40"/>
    </row>
    <row r="1823" spans="1:29" hidden="1">
      <c r="A1823" s="751">
        <v>62076</v>
      </c>
      <c r="B1823" s="752" t="s">
        <v>35</v>
      </c>
      <c r="C1823" s="751" t="s">
        <v>2960</v>
      </c>
      <c r="D1823" s="752" t="s">
        <v>2572</v>
      </c>
      <c r="E1823" s="752" t="s">
        <v>2040</v>
      </c>
      <c r="F1823" s="751">
        <v>60947</v>
      </c>
      <c r="G1823" s="752" t="s">
        <v>43</v>
      </c>
      <c r="H1823" s="752" t="s">
        <v>1245</v>
      </c>
      <c r="I1823" s="752" t="s">
        <v>60</v>
      </c>
      <c r="J1823" s="751">
        <v>22</v>
      </c>
      <c r="K1823" s="751">
        <v>2</v>
      </c>
      <c r="L1823" s="752" t="s">
        <v>54</v>
      </c>
      <c r="M1823" s="752" t="s">
        <v>468</v>
      </c>
      <c r="N1823" s="752" t="s">
        <v>469</v>
      </c>
      <c r="O1823" s="752" t="s">
        <v>469</v>
      </c>
      <c r="P1823" s="752" t="s">
        <v>1238</v>
      </c>
      <c r="Q1823" s="753">
        <v>0</v>
      </c>
      <c r="R1823" s="753">
        <v>0</v>
      </c>
      <c r="S1823" s="753">
        <v>12109</v>
      </c>
      <c r="T1823" s="753">
        <v>12109</v>
      </c>
      <c r="U1823" s="753">
        <v>1360</v>
      </c>
      <c r="V1823" s="751">
        <v>2019</v>
      </c>
      <c r="W1823" s="222"/>
      <c r="X1823" s="186"/>
      <c r="Y1823" s="178" t="str">
        <f t="shared" si="86"/>
        <v/>
      </c>
      <c r="Z1823" s="178" t="str">
        <f t="shared" si="87"/>
        <v/>
      </c>
      <c r="AA1823" s="44"/>
      <c r="AB1823" s="65"/>
      <c r="AC1823" s="40"/>
    </row>
    <row r="1824" spans="1:29" hidden="1">
      <c r="A1824" s="751">
        <v>62082</v>
      </c>
      <c r="B1824" s="752" t="s">
        <v>35</v>
      </c>
      <c r="C1824" s="751" t="s">
        <v>2960</v>
      </c>
      <c r="D1824" s="752" t="s">
        <v>2573</v>
      </c>
      <c r="E1824" s="752" t="s">
        <v>2570</v>
      </c>
      <c r="F1824" s="751">
        <v>54913</v>
      </c>
      <c r="G1824" s="752" t="s">
        <v>83</v>
      </c>
      <c r="H1824" s="752" t="s">
        <v>1245</v>
      </c>
      <c r="I1824" s="752" t="s">
        <v>60</v>
      </c>
      <c r="J1824" s="751">
        <v>22</v>
      </c>
      <c r="K1824" s="751">
        <v>1</v>
      </c>
      <c r="L1824" s="752" t="s">
        <v>36</v>
      </c>
      <c r="M1824" s="752" t="s">
        <v>468</v>
      </c>
      <c r="N1824" s="752" t="s">
        <v>469</v>
      </c>
      <c r="O1824" s="752" t="s">
        <v>469</v>
      </c>
      <c r="P1824" s="752" t="s">
        <v>1238</v>
      </c>
      <c r="Q1824" s="753">
        <v>0</v>
      </c>
      <c r="R1824" s="753">
        <v>0</v>
      </c>
      <c r="S1824" s="753">
        <v>65740</v>
      </c>
      <c r="T1824" s="753">
        <v>65740</v>
      </c>
      <c r="U1824" s="753">
        <v>7383</v>
      </c>
      <c r="V1824" s="751">
        <v>2019</v>
      </c>
      <c r="W1824" s="222"/>
      <c r="X1824" s="186"/>
      <c r="Y1824" s="178" t="str">
        <f t="shared" si="86"/>
        <v/>
      </c>
      <c r="Z1824" s="178" t="str">
        <f t="shared" si="87"/>
        <v/>
      </c>
      <c r="AA1824" s="44"/>
      <c r="AB1824" s="65"/>
      <c r="AC1824" s="40"/>
    </row>
    <row r="1825" spans="1:29" hidden="1">
      <c r="A1825" s="751">
        <v>62090</v>
      </c>
      <c r="B1825" s="752" t="s">
        <v>35</v>
      </c>
      <c r="C1825" s="751" t="s">
        <v>2960</v>
      </c>
      <c r="D1825" s="752" t="s">
        <v>2574</v>
      </c>
      <c r="E1825" s="752" t="s">
        <v>2570</v>
      </c>
      <c r="F1825" s="751">
        <v>54913</v>
      </c>
      <c r="G1825" s="752" t="s">
        <v>83</v>
      </c>
      <c r="H1825" s="752" t="s">
        <v>1245</v>
      </c>
      <c r="I1825" s="752" t="s">
        <v>60</v>
      </c>
      <c r="J1825" s="751">
        <v>22</v>
      </c>
      <c r="K1825" s="751">
        <v>1</v>
      </c>
      <c r="L1825" s="752" t="s">
        <v>36</v>
      </c>
      <c r="M1825" s="752" t="s">
        <v>468</v>
      </c>
      <c r="N1825" s="752" t="s">
        <v>469</v>
      </c>
      <c r="O1825" s="752" t="s">
        <v>469</v>
      </c>
      <c r="P1825" s="752" t="s">
        <v>1238</v>
      </c>
      <c r="Q1825" s="753">
        <v>0</v>
      </c>
      <c r="R1825" s="753">
        <v>0</v>
      </c>
      <c r="S1825" s="753">
        <v>14336</v>
      </c>
      <c r="T1825" s="753">
        <v>14336</v>
      </c>
      <c r="U1825" s="753">
        <v>1610</v>
      </c>
      <c r="V1825" s="751">
        <v>2019</v>
      </c>
      <c r="W1825" s="222"/>
      <c r="X1825" s="186"/>
      <c r="Y1825" s="178" t="str">
        <f t="shared" si="86"/>
        <v/>
      </c>
      <c r="Z1825" s="178" t="str">
        <f t="shared" si="87"/>
        <v/>
      </c>
      <c r="AA1825" s="44"/>
      <c r="AB1825" s="65"/>
      <c r="AC1825" s="40"/>
    </row>
    <row r="1826" spans="1:29" hidden="1">
      <c r="A1826" s="751">
        <v>62091</v>
      </c>
      <c r="B1826" s="752" t="s">
        <v>35</v>
      </c>
      <c r="C1826" s="751" t="s">
        <v>2960</v>
      </c>
      <c r="D1826" s="752" t="s">
        <v>2575</v>
      </c>
      <c r="E1826" s="752" t="s">
        <v>2570</v>
      </c>
      <c r="F1826" s="751">
        <v>54913</v>
      </c>
      <c r="G1826" s="752" t="s">
        <v>83</v>
      </c>
      <c r="H1826" s="752" t="s">
        <v>1245</v>
      </c>
      <c r="I1826" s="752" t="s">
        <v>60</v>
      </c>
      <c r="J1826" s="751">
        <v>22</v>
      </c>
      <c r="K1826" s="751">
        <v>1</v>
      </c>
      <c r="L1826" s="752" t="s">
        <v>36</v>
      </c>
      <c r="M1826" s="752" t="s">
        <v>468</v>
      </c>
      <c r="N1826" s="752" t="s">
        <v>469</v>
      </c>
      <c r="O1826" s="752" t="s">
        <v>469</v>
      </c>
      <c r="P1826" s="752" t="s">
        <v>1238</v>
      </c>
      <c r="Q1826" s="753">
        <v>0</v>
      </c>
      <c r="R1826" s="753">
        <v>0</v>
      </c>
      <c r="S1826" s="753">
        <v>48964</v>
      </c>
      <c r="T1826" s="753">
        <v>48964</v>
      </c>
      <c r="U1826" s="753">
        <v>5499</v>
      </c>
      <c r="V1826" s="751">
        <v>2019</v>
      </c>
      <c r="W1826" s="222"/>
      <c r="X1826" s="186"/>
      <c r="Y1826" s="178" t="str">
        <f t="shared" si="86"/>
        <v/>
      </c>
      <c r="Z1826" s="178" t="str">
        <f t="shared" si="87"/>
        <v/>
      </c>
      <c r="AA1826" s="44"/>
      <c r="AB1826" s="65"/>
      <c r="AC1826" s="40"/>
    </row>
    <row r="1827" spans="1:29" hidden="1">
      <c r="A1827" s="751">
        <v>62092</v>
      </c>
      <c r="B1827" s="752" t="s">
        <v>35</v>
      </c>
      <c r="C1827" s="751" t="s">
        <v>2960</v>
      </c>
      <c r="D1827" s="752" t="s">
        <v>2576</v>
      </c>
      <c r="E1827" s="752" t="s">
        <v>2570</v>
      </c>
      <c r="F1827" s="751">
        <v>54913</v>
      </c>
      <c r="G1827" s="752" t="s">
        <v>83</v>
      </c>
      <c r="H1827" s="752" t="s">
        <v>1245</v>
      </c>
      <c r="I1827" s="752" t="s">
        <v>60</v>
      </c>
      <c r="J1827" s="751">
        <v>22</v>
      </c>
      <c r="K1827" s="751">
        <v>1</v>
      </c>
      <c r="L1827" s="752" t="s">
        <v>36</v>
      </c>
      <c r="M1827" s="752" t="s">
        <v>468</v>
      </c>
      <c r="N1827" s="752" t="s">
        <v>469</v>
      </c>
      <c r="O1827" s="752" t="s">
        <v>469</v>
      </c>
      <c r="P1827" s="752" t="s">
        <v>1238</v>
      </c>
      <c r="Q1827" s="753">
        <v>0</v>
      </c>
      <c r="R1827" s="753">
        <v>0</v>
      </c>
      <c r="S1827" s="753">
        <v>51645</v>
      </c>
      <c r="T1827" s="753">
        <v>51645</v>
      </c>
      <c r="U1827" s="753">
        <v>5800</v>
      </c>
      <c r="V1827" s="751">
        <v>2019</v>
      </c>
      <c r="W1827" s="222"/>
      <c r="X1827" s="186"/>
      <c r="Y1827" s="178" t="str">
        <f t="shared" si="86"/>
        <v/>
      </c>
      <c r="Z1827" s="178" t="str">
        <f t="shared" si="87"/>
        <v/>
      </c>
      <c r="AA1827" s="44"/>
      <c r="AB1827" s="65"/>
      <c r="AC1827" s="40"/>
    </row>
    <row r="1828" spans="1:29" hidden="1">
      <c r="A1828" s="751">
        <v>62093</v>
      </c>
      <c r="B1828" s="752" t="s">
        <v>35</v>
      </c>
      <c r="C1828" s="751" t="s">
        <v>2960</v>
      </c>
      <c r="D1828" s="752" t="s">
        <v>2577</v>
      </c>
      <c r="E1828" s="752" t="s">
        <v>2570</v>
      </c>
      <c r="F1828" s="751">
        <v>54913</v>
      </c>
      <c r="G1828" s="752" t="s">
        <v>83</v>
      </c>
      <c r="H1828" s="752" t="s">
        <v>1245</v>
      </c>
      <c r="I1828" s="752" t="s">
        <v>60</v>
      </c>
      <c r="J1828" s="751">
        <v>22</v>
      </c>
      <c r="K1828" s="751">
        <v>1</v>
      </c>
      <c r="L1828" s="752" t="s">
        <v>36</v>
      </c>
      <c r="M1828" s="752" t="s">
        <v>468</v>
      </c>
      <c r="N1828" s="752" t="s">
        <v>469</v>
      </c>
      <c r="O1828" s="752" t="s">
        <v>469</v>
      </c>
      <c r="P1828" s="752" t="s">
        <v>1238</v>
      </c>
      <c r="Q1828" s="753">
        <v>0</v>
      </c>
      <c r="R1828" s="753">
        <v>0</v>
      </c>
      <c r="S1828" s="753">
        <v>17318</v>
      </c>
      <c r="T1828" s="753">
        <v>17318</v>
      </c>
      <c r="U1828" s="753">
        <v>1945</v>
      </c>
      <c r="V1828" s="751">
        <v>2019</v>
      </c>
      <c r="W1828" s="222"/>
      <c r="X1828" s="186"/>
      <c r="Y1828" s="178" t="str">
        <f t="shared" si="86"/>
        <v/>
      </c>
      <c r="Z1828" s="178" t="str">
        <f t="shared" si="87"/>
        <v/>
      </c>
      <c r="AA1828" s="44"/>
      <c r="AB1828" s="65"/>
      <c r="AC1828" s="40"/>
    </row>
    <row r="1829" spans="1:29" hidden="1">
      <c r="A1829" s="751">
        <v>62097</v>
      </c>
      <c r="B1829" s="752" t="s">
        <v>35</v>
      </c>
      <c r="C1829" s="751" t="s">
        <v>2960</v>
      </c>
      <c r="D1829" s="752" t="s">
        <v>2578</v>
      </c>
      <c r="E1829" s="752" t="s">
        <v>2570</v>
      </c>
      <c r="F1829" s="751">
        <v>54913</v>
      </c>
      <c r="G1829" s="752" t="s">
        <v>83</v>
      </c>
      <c r="H1829" s="752" t="s">
        <v>1245</v>
      </c>
      <c r="I1829" s="752" t="s">
        <v>60</v>
      </c>
      <c r="J1829" s="751">
        <v>22</v>
      </c>
      <c r="K1829" s="751">
        <v>1</v>
      </c>
      <c r="L1829" s="752" t="s">
        <v>36</v>
      </c>
      <c r="M1829" s="752" t="s">
        <v>468</v>
      </c>
      <c r="N1829" s="752" t="s">
        <v>469</v>
      </c>
      <c r="O1829" s="752" t="s">
        <v>469</v>
      </c>
      <c r="P1829" s="752" t="s">
        <v>1238</v>
      </c>
      <c r="Q1829" s="753">
        <v>0</v>
      </c>
      <c r="R1829" s="753">
        <v>0</v>
      </c>
      <c r="S1829" s="753">
        <v>18208</v>
      </c>
      <c r="T1829" s="753">
        <v>18208</v>
      </c>
      <c r="U1829" s="753">
        <v>2045</v>
      </c>
      <c r="V1829" s="751">
        <v>2019</v>
      </c>
      <c r="W1829" s="222"/>
      <c r="X1829" s="186"/>
      <c r="Y1829" s="178" t="str">
        <f t="shared" si="86"/>
        <v/>
      </c>
      <c r="Z1829" s="178" t="str">
        <f t="shared" si="87"/>
        <v/>
      </c>
      <c r="AA1829" s="44"/>
      <c r="AB1829" s="65"/>
      <c r="AC1829" s="40"/>
    </row>
    <row r="1830" spans="1:29" hidden="1">
      <c r="A1830" s="751">
        <v>62106</v>
      </c>
      <c r="B1830" s="752" t="s">
        <v>35</v>
      </c>
      <c r="C1830" s="751" t="s">
        <v>2960</v>
      </c>
      <c r="D1830" s="752" t="s">
        <v>2579</v>
      </c>
      <c r="E1830" s="752" t="s">
        <v>2579</v>
      </c>
      <c r="F1830" s="751">
        <v>61648</v>
      </c>
      <c r="G1830" s="752" t="s">
        <v>136</v>
      </c>
      <c r="H1830" s="752" t="s">
        <v>1245</v>
      </c>
      <c r="I1830" s="752" t="s">
        <v>60</v>
      </c>
      <c r="J1830" s="751">
        <v>22</v>
      </c>
      <c r="K1830" s="751">
        <v>2</v>
      </c>
      <c r="L1830" s="752" t="s">
        <v>54</v>
      </c>
      <c r="M1830" s="752" t="s">
        <v>73</v>
      </c>
      <c r="N1830" s="752" t="s">
        <v>74</v>
      </c>
      <c r="O1830" s="752" t="s">
        <v>74</v>
      </c>
      <c r="P1830" s="752" t="s">
        <v>1238</v>
      </c>
      <c r="Q1830" s="753">
        <v>0</v>
      </c>
      <c r="R1830" s="753">
        <v>0</v>
      </c>
      <c r="S1830" s="753">
        <v>59131</v>
      </c>
      <c r="T1830" s="753">
        <v>59131</v>
      </c>
      <c r="U1830" s="753">
        <v>6641</v>
      </c>
      <c r="V1830" s="751">
        <v>2019</v>
      </c>
      <c r="W1830" s="222"/>
      <c r="X1830" s="186">
        <f>IF(OR(K1830&gt;3,T1830=0,NOT(U1830&gt;0)),"",T1830/U1830)</f>
        <v>8.9039301310043673</v>
      </c>
      <c r="Y1830" s="178" t="str">
        <f t="shared" si="86"/>
        <v/>
      </c>
      <c r="Z1830" s="178" t="str">
        <f t="shared" si="87"/>
        <v/>
      </c>
      <c r="AA1830" s="44"/>
      <c r="AB1830" s="65"/>
      <c r="AC1830" s="40"/>
    </row>
    <row r="1831" spans="1:29" hidden="1">
      <c r="A1831" s="751">
        <v>62107</v>
      </c>
      <c r="B1831" s="752" t="s">
        <v>35</v>
      </c>
      <c r="C1831" s="751" t="s">
        <v>2960</v>
      </c>
      <c r="D1831" s="752" t="s">
        <v>3010</v>
      </c>
      <c r="E1831" s="752" t="s">
        <v>3010</v>
      </c>
      <c r="F1831" s="751">
        <v>61649</v>
      </c>
      <c r="G1831" s="752" t="s">
        <v>136</v>
      </c>
      <c r="H1831" s="752" t="s">
        <v>1245</v>
      </c>
      <c r="I1831" s="752" t="s">
        <v>60</v>
      </c>
      <c r="J1831" s="751">
        <v>22</v>
      </c>
      <c r="K1831" s="751">
        <v>2</v>
      </c>
      <c r="L1831" s="752" t="s">
        <v>54</v>
      </c>
      <c r="M1831" s="752" t="s">
        <v>73</v>
      </c>
      <c r="N1831" s="752" t="s">
        <v>74</v>
      </c>
      <c r="O1831" s="752" t="s">
        <v>74</v>
      </c>
      <c r="P1831" s="752" t="s">
        <v>1238</v>
      </c>
      <c r="Q1831" s="753">
        <v>0</v>
      </c>
      <c r="R1831" s="753">
        <v>0</v>
      </c>
      <c r="S1831" s="753">
        <v>54731</v>
      </c>
      <c r="T1831" s="753">
        <v>54731</v>
      </c>
      <c r="U1831" s="753">
        <v>6147</v>
      </c>
      <c r="V1831" s="751">
        <v>2019</v>
      </c>
      <c r="W1831" s="222"/>
      <c r="X1831" s="186"/>
      <c r="Y1831" s="178" t="str">
        <f t="shared" si="86"/>
        <v/>
      </c>
      <c r="Z1831" s="178" t="str">
        <f t="shared" si="87"/>
        <v/>
      </c>
      <c r="AA1831" s="44"/>
      <c r="AB1831" s="65"/>
      <c r="AC1831" s="40"/>
    </row>
    <row r="1832" spans="1:29" hidden="1">
      <c r="A1832" s="751">
        <v>62108</v>
      </c>
      <c r="B1832" s="752" t="s">
        <v>35</v>
      </c>
      <c r="C1832" s="751" t="s">
        <v>2960</v>
      </c>
      <c r="D1832" s="752" t="s">
        <v>3011</v>
      </c>
      <c r="E1832" s="752" t="s">
        <v>3011</v>
      </c>
      <c r="F1832" s="751">
        <v>61650</v>
      </c>
      <c r="G1832" s="752" t="s">
        <v>136</v>
      </c>
      <c r="H1832" s="752" t="s">
        <v>1245</v>
      </c>
      <c r="I1832" s="752" t="s">
        <v>60</v>
      </c>
      <c r="J1832" s="751">
        <v>22</v>
      </c>
      <c r="K1832" s="751">
        <v>2</v>
      </c>
      <c r="L1832" s="752" t="s">
        <v>54</v>
      </c>
      <c r="M1832" s="752" t="s">
        <v>73</v>
      </c>
      <c r="N1832" s="752" t="s">
        <v>74</v>
      </c>
      <c r="O1832" s="752" t="s">
        <v>74</v>
      </c>
      <c r="P1832" s="752" t="s">
        <v>1238</v>
      </c>
      <c r="Q1832" s="753">
        <v>0</v>
      </c>
      <c r="R1832" s="753">
        <v>0</v>
      </c>
      <c r="S1832" s="753">
        <v>44109</v>
      </c>
      <c r="T1832" s="753">
        <v>44109</v>
      </c>
      <c r="U1832" s="753">
        <v>4954</v>
      </c>
      <c r="V1832" s="751">
        <v>2019</v>
      </c>
      <c r="W1832" s="222"/>
      <c r="X1832" s="186"/>
      <c r="Y1832" s="178" t="str">
        <f t="shared" si="86"/>
        <v/>
      </c>
      <c r="Z1832" s="178" t="str">
        <f t="shared" si="87"/>
        <v/>
      </c>
      <c r="AA1832" s="44"/>
      <c r="AB1832" s="65"/>
      <c r="AC1832" s="40"/>
    </row>
    <row r="1833" spans="1:29" hidden="1">
      <c r="A1833" s="751">
        <v>62109</v>
      </c>
      <c r="B1833" s="752" t="s">
        <v>35</v>
      </c>
      <c r="C1833" s="751" t="s">
        <v>2960</v>
      </c>
      <c r="D1833" s="752" t="s">
        <v>3012</v>
      </c>
      <c r="E1833" s="752" t="s">
        <v>3012</v>
      </c>
      <c r="F1833" s="751">
        <v>61651</v>
      </c>
      <c r="G1833" s="752" t="s">
        <v>136</v>
      </c>
      <c r="H1833" s="752" t="s">
        <v>1245</v>
      </c>
      <c r="I1833" s="752" t="s">
        <v>60</v>
      </c>
      <c r="J1833" s="751">
        <v>22</v>
      </c>
      <c r="K1833" s="751">
        <v>2</v>
      </c>
      <c r="L1833" s="752" t="s">
        <v>54</v>
      </c>
      <c r="M1833" s="752" t="s">
        <v>73</v>
      </c>
      <c r="N1833" s="752" t="s">
        <v>74</v>
      </c>
      <c r="O1833" s="752" t="s">
        <v>74</v>
      </c>
      <c r="P1833" s="752" t="s">
        <v>1238</v>
      </c>
      <c r="Q1833" s="753">
        <v>0</v>
      </c>
      <c r="R1833" s="753">
        <v>0</v>
      </c>
      <c r="S1833" s="753">
        <v>51588</v>
      </c>
      <c r="T1833" s="753">
        <v>51588</v>
      </c>
      <c r="U1833" s="753">
        <v>5794</v>
      </c>
      <c r="V1833" s="751">
        <v>2019</v>
      </c>
      <c r="W1833" s="222"/>
      <c r="X1833" s="186"/>
      <c r="Y1833" s="178" t="str">
        <f t="shared" si="86"/>
        <v/>
      </c>
      <c r="Z1833" s="178" t="str">
        <f t="shared" si="87"/>
        <v/>
      </c>
      <c r="AA1833" s="44"/>
      <c r="AB1833" s="65"/>
      <c r="AC1833" s="40"/>
    </row>
    <row r="1834" spans="1:29" hidden="1">
      <c r="A1834" s="751">
        <v>62110</v>
      </c>
      <c r="B1834" s="752" t="s">
        <v>35</v>
      </c>
      <c r="C1834" s="751" t="s">
        <v>2960</v>
      </c>
      <c r="D1834" s="752" t="s">
        <v>2580</v>
      </c>
      <c r="E1834" s="752" t="s">
        <v>2580</v>
      </c>
      <c r="F1834" s="751">
        <v>61652</v>
      </c>
      <c r="G1834" s="752" t="s">
        <v>136</v>
      </c>
      <c r="H1834" s="752" t="s">
        <v>1245</v>
      </c>
      <c r="I1834" s="752" t="s">
        <v>60</v>
      </c>
      <c r="J1834" s="751">
        <v>22</v>
      </c>
      <c r="K1834" s="751">
        <v>2</v>
      </c>
      <c r="L1834" s="752" t="s">
        <v>54</v>
      </c>
      <c r="M1834" s="752" t="s">
        <v>73</v>
      </c>
      <c r="N1834" s="752" t="s">
        <v>74</v>
      </c>
      <c r="O1834" s="752" t="s">
        <v>74</v>
      </c>
      <c r="P1834" s="752" t="s">
        <v>1238</v>
      </c>
      <c r="Q1834" s="753">
        <v>0</v>
      </c>
      <c r="R1834" s="753">
        <v>0</v>
      </c>
      <c r="S1834" s="753">
        <v>58643</v>
      </c>
      <c r="T1834" s="753">
        <v>58643</v>
      </c>
      <c r="U1834" s="753">
        <v>6586</v>
      </c>
      <c r="V1834" s="751">
        <v>2019</v>
      </c>
      <c r="W1834" s="222"/>
      <c r="X1834" s="186"/>
      <c r="Y1834" s="178" t="str">
        <f t="shared" si="86"/>
        <v/>
      </c>
      <c r="Z1834" s="178" t="str">
        <f t="shared" si="87"/>
        <v/>
      </c>
      <c r="AA1834" s="44"/>
      <c r="AB1834" s="65"/>
      <c r="AC1834" s="40"/>
    </row>
    <row r="1835" spans="1:29" hidden="1">
      <c r="A1835" s="751">
        <v>62111</v>
      </c>
      <c r="B1835" s="752" t="s">
        <v>35</v>
      </c>
      <c r="C1835" s="751" t="s">
        <v>2960</v>
      </c>
      <c r="D1835" s="752" t="s">
        <v>2581</v>
      </c>
      <c r="E1835" s="752" t="s">
        <v>2581</v>
      </c>
      <c r="F1835" s="751">
        <v>61653</v>
      </c>
      <c r="G1835" s="752" t="s">
        <v>136</v>
      </c>
      <c r="H1835" s="752" t="s">
        <v>1245</v>
      </c>
      <c r="I1835" s="752" t="s">
        <v>60</v>
      </c>
      <c r="J1835" s="751">
        <v>22</v>
      </c>
      <c r="K1835" s="751">
        <v>2</v>
      </c>
      <c r="L1835" s="752" t="s">
        <v>54</v>
      </c>
      <c r="M1835" s="752" t="s">
        <v>73</v>
      </c>
      <c r="N1835" s="752" t="s">
        <v>74</v>
      </c>
      <c r="O1835" s="752" t="s">
        <v>74</v>
      </c>
      <c r="P1835" s="752" t="s">
        <v>1238</v>
      </c>
      <c r="Q1835" s="753">
        <v>0</v>
      </c>
      <c r="R1835" s="753">
        <v>0</v>
      </c>
      <c r="S1835" s="753">
        <v>55186</v>
      </c>
      <c r="T1835" s="753">
        <v>55186</v>
      </c>
      <c r="U1835" s="753">
        <v>6198</v>
      </c>
      <c r="V1835" s="751">
        <v>2019</v>
      </c>
      <c r="W1835" s="222"/>
      <c r="X1835" s="186"/>
      <c r="Y1835" s="178" t="str">
        <f t="shared" si="86"/>
        <v/>
      </c>
      <c r="Z1835" s="178" t="str">
        <f t="shared" si="87"/>
        <v/>
      </c>
      <c r="AA1835" s="44"/>
      <c r="AB1835" s="65"/>
      <c r="AC1835" s="40"/>
    </row>
    <row r="1836" spans="1:29" hidden="1">
      <c r="A1836" s="751">
        <v>62112</v>
      </c>
      <c r="B1836" s="752" t="s">
        <v>35</v>
      </c>
      <c r="C1836" s="751" t="s">
        <v>2960</v>
      </c>
      <c r="D1836" s="752" t="s">
        <v>2582</v>
      </c>
      <c r="E1836" s="752" t="s">
        <v>2582</v>
      </c>
      <c r="F1836" s="751">
        <v>61654</v>
      </c>
      <c r="G1836" s="752" t="s">
        <v>136</v>
      </c>
      <c r="H1836" s="752" t="s">
        <v>1245</v>
      </c>
      <c r="I1836" s="752" t="s">
        <v>60</v>
      </c>
      <c r="J1836" s="751">
        <v>22</v>
      </c>
      <c r="K1836" s="751">
        <v>2</v>
      </c>
      <c r="L1836" s="752" t="s">
        <v>54</v>
      </c>
      <c r="M1836" s="752" t="s">
        <v>73</v>
      </c>
      <c r="N1836" s="752" t="s">
        <v>74</v>
      </c>
      <c r="O1836" s="752" t="s">
        <v>74</v>
      </c>
      <c r="P1836" s="752" t="s">
        <v>1238</v>
      </c>
      <c r="Q1836" s="753">
        <v>0</v>
      </c>
      <c r="R1836" s="753">
        <v>0</v>
      </c>
      <c r="S1836" s="753">
        <v>47718</v>
      </c>
      <c r="T1836" s="753">
        <v>47718</v>
      </c>
      <c r="U1836" s="753">
        <v>5359</v>
      </c>
      <c r="V1836" s="751">
        <v>2019</v>
      </c>
      <c r="W1836" s="222"/>
      <c r="X1836" s="186"/>
      <c r="Y1836" s="178" t="str">
        <f t="shared" si="86"/>
        <v/>
      </c>
      <c r="Z1836" s="178" t="str">
        <f t="shared" si="87"/>
        <v/>
      </c>
      <c r="AA1836" s="44"/>
      <c r="AB1836" s="65"/>
      <c r="AC1836" s="40"/>
    </row>
    <row r="1837" spans="1:29" hidden="1">
      <c r="A1837" s="751">
        <v>62118</v>
      </c>
      <c r="B1837" s="752" t="s">
        <v>35</v>
      </c>
      <c r="C1837" s="751" t="s">
        <v>2960</v>
      </c>
      <c r="D1837" s="752" t="s">
        <v>3013</v>
      </c>
      <c r="E1837" s="752" t="s">
        <v>3014</v>
      </c>
      <c r="F1837" s="751">
        <v>61666</v>
      </c>
      <c r="G1837" s="752" t="s">
        <v>136</v>
      </c>
      <c r="H1837" s="752" t="s">
        <v>1245</v>
      </c>
      <c r="I1837" s="752" t="s">
        <v>60</v>
      </c>
      <c r="J1837" s="751">
        <v>22</v>
      </c>
      <c r="K1837" s="751">
        <v>2</v>
      </c>
      <c r="L1837" s="752" t="s">
        <v>54</v>
      </c>
      <c r="M1837" s="752" t="s">
        <v>468</v>
      </c>
      <c r="N1837" s="752" t="s">
        <v>469</v>
      </c>
      <c r="O1837" s="752" t="s">
        <v>469</v>
      </c>
      <c r="P1837" s="752" t="s">
        <v>1238</v>
      </c>
      <c r="Q1837" s="753">
        <v>0</v>
      </c>
      <c r="R1837" s="753">
        <v>0</v>
      </c>
      <c r="S1837" s="753">
        <v>34583</v>
      </c>
      <c r="T1837" s="753">
        <v>34583</v>
      </c>
      <c r="U1837" s="753">
        <v>3884</v>
      </c>
      <c r="V1837" s="751">
        <v>2019</v>
      </c>
      <c r="W1837" s="222"/>
      <c r="X1837" s="186"/>
      <c r="Y1837" s="178" t="str">
        <f t="shared" si="86"/>
        <v/>
      </c>
      <c r="Z1837" s="178" t="str">
        <f t="shared" si="87"/>
        <v/>
      </c>
      <c r="AA1837" s="44"/>
      <c r="AB1837" s="65"/>
      <c r="AC1837" s="40"/>
    </row>
    <row r="1838" spans="1:29" hidden="1">
      <c r="A1838" s="751">
        <v>62135</v>
      </c>
      <c r="B1838" s="752" t="s">
        <v>35</v>
      </c>
      <c r="C1838" s="751" t="s">
        <v>2960</v>
      </c>
      <c r="D1838" s="752" t="s">
        <v>3015</v>
      </c>
      <c r="E1838" s="752" t="s">
        <v>2340</v>
      </c>
      <c r="F1838" s="751">
        <v>61012</v>
      </c>
      <c r="G1838" s="752" t="s">
        <v>83</v>
      </c>
      <c r="H1838" s="752" t="s">
        <v>1245</v>
      </c>
      <c r="I1838" s="752" t="s">
        <v>60</v>
      </c>
      <c r="J1838" s="751">
        <v>22</v>
      </c>
      <c r="K1838" s="751">
        <v>2</v>
      </c>
      <c r="L1838" s="752" t="s">
        <v>54</v>
      </c>
      <c r="M1838" s="752" t="s">
        <v>468</v>
      </c>
      <c r="N1838" s="752" t="s">
        <v>469</v>
      </c>
      <c r="O1838" s="752" t="s">
        <v>469</v>
      </c>
      <c r="P1838" s="752" t="s">
        <v>1238</v>
      </c>
      <c r="Q1838" s="753">
        <v>0</v>
      </c>
      <c r="R1838" s="753">
        <v>0</v>
      </c>
      <c r="S1838" s="753">
        <v>7747</v>
      </c>
      <c r="T1838" s="753">
        <v>7747</v>
      </c>
      <c r="U1838" s="753">
        <v>870</v>
      </c>
      <c r="V1838" s="751">
        <v>2019</v>
      </c>
      <c r="W1838" s="222"/>
      <c r="X1838" s="186">
        <f>IF(OR(K1838&gt;3,T1838=0,NOT(U1838&gt;0)),"",T1838/U1838)</f>
        <v>8.9045977011494255</v>
      </c>
      <c r="Y1838" s="178" t="str">
        <f t="shared" si="86"/>
        <v/>
      </c>
      <c r="Z1838" s="178" t="str">
        <f t="shared" si="87"/>
        <v/>
      </c>
      <c r="AA1838" s="44"/>
      <c r="AB1838" s="65"/>
      <c r="AC1838" s="40"/>
    </row>
    <row r="1839" spans="1:29" hidden="1">
      <c r="A1839" s="751">
        <v>62145</v>
      </c>
      <c r="B1839" s="752" t="s">
        <v>35</v>
      </c>
      <c r="C1839" s="751" t="s">
        <v>2960</v>
      </c>
      <c r="D1839" s="752" t="s">
        <v>2583</v>
      </c>
      <c r="E1839" s="752" t="s">
        <v>2583</v>
      </c>
      <c r="F1839" s="751">
        <v>61681</v>
      </c>
      <c r="G1839" s="752" t="s">
        <v>59</v>
      </c>
      <c r="H1839" s="752" t="s">
        <v>1244</v>
      </c>
      <c r="I1839" s="752" t="s">
        <v>60</v>
      </c>
      <c r="J1839" s="751">
        <v>22</v>
      </c>
      <c r="K1839" s="751">
        <v>2</v>
      </c>
      <c r="L1839" s="752" t="s">
        <v>54</v>
      </c>
      <c r="M1839" s="752" t="s">
        <v>468</v>
      </c>
      <c r="N1839" s="752" t="s">
        <v>469</v>
      </c>
      <c r="O1839" s="752" t="s">
        <v>469</v>
      </c>
      <c r="P1839" s="752" t="s">
        <v>1238</v>
      </c>
      <c r="Q1839" s="753">
        <v>0</v>
      </c>
      <c r="R1839" s="753">
        <v>0</v>
      </c>
      <c r="S1839" s="753">
        <v>27628</v>
      </c>
      <c r="T1839" s="753">
        <v>27628</v>
      </c>
      <c r="U1839" s="753">
        <v>3103</v>
      </c>
      <c r="V1839" s="751">
        <v>2019</v>
      </c>
      <c r="W1839" s="222"/>
      <c r="X1839" s="186">
        <f>IF(OR(K1839&gt;3,T1839=0,NOT(U1839&gt;0)),"",T1839/U1839)</f>
        <v>8.9036416371253626</v>
      </c>
      <c r="Y1839" s="178" t="str">
        <f t="shared" si="86"/>
        <v/>
      </c>
      <c r="Z1839" s="178" t="str">
        <f t="shared" si="87"/>
        <v/>
      </c>
      <c r="AA1839" s="44"/>
      <c r="AB1839" s="65"/>
      <c r="AC1839" s="40"/>
    </row>
    <row r="1840" spans="1:29" hidden="1">
      <c r="A1840" s="751">
        <v>62146</v>
      </c>
      <c r="B1840" s="752" t="s">
        <v>35</v>
      </c>
      <c r="C1840" s="751" t="s">
        <v>2960</v>
      </c>
      <c r="D1840" s="752" t="s">
        <v>2584</v>
      </c>
      <c r="E1840" s="752" t="s">
        <v>2585</v>
      </c>
      <c r="F1840" s="751">
        <v>61682</v>
      </c>
      <c r="G1840" s="752" t="s">
        <v>59</v>
      </c>
      <c r="H1840" s="752" t="s">
        <v>1244</v>
      </c>
      <c r="I1840" s="752" t="s">
        <v>60</v>
      </c>
      <c r="J1840" s="751">
        <v>22</v>
      </c>
      <c r="K1840" s="751">
        <v>2</v>
      </c>
      <c r="L1840" s="752" t="s">
        <v>54</v>
      </c>
      <c r="M1840" s="752" t="s">
        <v>468</v>
      </c>
      <c r="N1840" s="752" t="s">
        <v>469</v>
      </c>
      <c r="O1840" s="752" t="s">
        <v>469</v>
      </c>
      <c r="P1840" s="752" t="s">
        <v>1238</v>
      </c>
      <c r="Q1840" s="753">
        <v>0</v>
      </c>
      <c r="R1840" s="753">
        <v>0</v>
      </c>
      <c r="S1840" s="753">
        <v>30657</v>
      </c>
      <c r="T1840" s="753">
        <v>30657</v>
      </c>
      <c r="U1840" s="753">
        <v>3443</v>
      </c>
      <c r="V1840" s="751">
        <v>2019</v>
      </c>
      <c r="W1840" s="222"/>
      <c r="X1840" s="186"/>
      <c r="Y1840" s="178" t="str">
        <f t="shared" si="86"/>
        <v/>
      </c>
      <c r="Z1840" s="178" t="str">
        <f t="shared" si="87"/>
        <v/>
      </c>
      <c r="AA1840" s="44"/>
      <c r="AB1840" s="65"/>
      <c r="AC1840" s="40"/>
    </row>
    <row r="1841" spans="1:29" ht="25" hidden="1">
      <c r="A1841" s="751">
        <v>62147</v>
      </c>
      <c r="B1841" s="752" t="s">
        <v>35</v>
      </c>
      <c r="C1841" s="751" t="s">
        <v>2960</v>
      </c>
      <c r="D1841" s="752" t="s">
        <v>3016</v>
      </c>
      <c r="E1841" s="752" t="s">
        <v>3017</v>
      </c>
      <c r="F1841" s="751">
        <v>61687</v>
      </c>
      <c r="G1841" s="752" t="s">
        <v>59</v>
      </c>
      <c r="H1841" s="752" t="s">
        <v>1244</v>
      </c>
      <c r="I1841" s="752" t="s">
        <v>60</v>
      </c>
      <c r="J1841" s="751">
        <v>22</v>
      </c>
      <c r="K1841" s="751">
        <v>2</v>
      </c>
      <c r="L1841" s="752" t="s">
        <v>54</v>
      </c>
      <c r="M1841" s="752" t="s">
        <v>2001</v>
      </c>
      <c r="N1841" s="752" t="s">
        <v>1107</v>
      </c>
      <c r="O1841" s="752" t="s">
        <v>84</v>
      </c>
      <c r="P1841" s="752" t="s">
        <v>2961</v>
      </c>
      <c r="Q1841" s="753">
        <v>15042</v>
      </c>
      <c r="R1841" s="753">
        <v>15042</v>
      </c>
      <c r="S1841" s="753">
        <v>0</v>
      </c>
      <c r="T1841" s="753">
        <v>0</v>
      </c>
      <c r="U1841" s="753">
        <v>-1834</v>
      </c>
      <c r="V1841" s="751">
        <v>2019</v>
      </c>
      <c r="W1841" s="222"/>
      <c r="X1841" s="186"/>
      <c r="Y1841" s="178" t="str">
        <f t="shared" si="86"/>
        <v/>
      </c>
      <c r="Z1841" s="178" t="str">
        <f t="shared" si="87"/>
        <v/>
      </c>
      <c r="AA1841" s="44"/>
      <c r="AB1841" s="65"/>
      <c r="AC1841" s="40"/>
    </row>
    <row r="1842" spans="1:29" ht="25" hidden="1">
      <c r="A1842" s="751">
        <v>62155</v>
      </c>
      <c r="B1842" s="752" t="s">
        <v>35</v>
      </c>
      <c r="C1842" s="751" t="s">
        <v>2960</v>
      </c>
      <c r="D1842" s="752" t="s">
        <v>3018</v>
      </c>
      <c r="E1842" s="752" t="s">
        <v>2566</v>
      </c>
      <c r="F1842" s="751">
        <v>61610</v>
      </c>
      <c r="G1842" s="752" t="s">
        <v>59</v>
      </c>
      <c r="H1842" s="752" t="s">
        <v>1244</v>
      </c>
      <c r="I1842" s="752" t="s">
        <v>60</v>
      </c>
      <c r="J1842" s="751">
        <v>22</v>
      </c>
      <c r="K1842" s="751">
        <v>2</v>
      </c>
      <c r="L1842" s="752" t="s">
        <v>54</v>
      </c>
      <c r="M1842" s="752" t="s">
        <v>468</v>
      </c>
      <c r="N1842" s="752" t="s">
        <v>469</v>
      </c>
      <c r="O1842" s="752" t="s">
        <v>469</v>
      </c>
      <c r="P1842" s="752" t="s">
        <v>1238</v>
      </c>
      <c r="Q1842" s="753">
        <v>0</v>
      </c>
      <c r="R1842" s="753">
        <v>0</v>
      </c>
      <c r="S1842" s="753">
        <v>401</v>
      </c>
      <c r="T1842" s="753">
        <v>401</v>
      </c>
      <c r="U1842" s="753">
        <v>45</v>
      </c>
      <c r="V1842" s="751">
        <v>2019</v>
      </c>
      <c r="W1842" s="222"/>
      <c r="X1842" s="186"/>
      <c r="Y1842" s="178" t="str">
        <f t="shared" si="86"/>
        <v/>
      </c>
      <c r="Z1842" s="178" t="str">
        <f t="shared" si="87"/>
        <v/>
      </c>
      <c r="AA1842" s="44"/>
      <c r="AB1842" s="65"/>
      <c r="AC1842" s="40"/>
    </row>
    <row r="1843" spans="1:29" ht="25" hidden="1">
      <c r="A1843" s="751">
        <v>62156</v>
      </c>
      <c r="B1843" s="752" t="s">
        <v>35</v>
      </c>
      <c r="C1843" s="751" t="s">
        <v>2960</v>
      </c>
      <c r="D1843" s="752" t="s">
        <v>3019</v>
      </c>
      <c r="E1843" s="752" t="s">
        <v>3020</v>
      </c>
      <c r="F1843" s="751">
        <v>61194</v>
      </c>
      <c r="G1843" s="752" t="s">
        <v>59</v>
      </c>
      <c r="H1843" s="752" t="s">
        <v>1244</v>
      </c>
      <c r="I1843" s="752" t="s">
        <v>60</v>
      </c>
      <c r="J1843" s="751">
        <v>22</v>
      </c>
      <c r="K1843" s="751">
        <v>2</v>
      </c>
      <c r="L1843" s="752" t="s">
        <v>54</v>
      </c>
      <c r="M1843" s="752" t="s">
        <v>468</v>
      </c>
      <c r="N1843" s="752" t="s">
        <v>469</v>
      </c>
      <c r="O1843" s="752" t="s">
        <v>469</v>
      </c>
      <c r="P1843" s="752" t="s">
        <v>1238</v>
      </c>
      <c r="Q1843" s="753">
        <v>0</v>
      </c>
      <c r="R1843" s="753">
        <v>0</v>
      </c>
      <c r="S1843" s="753">
        <v>0</v>
      </c>
      <c r="T1843" s="753">
        <v>0</v>
      </c>
      <c r="U1843" s="753">
        <v>0</v>
      </c>
      <c r="V1843" s="751">
        <v>2019</v>
      </c>
      <c r="W1843" s="222"/>
      <c r="X1843" s="186" t="str">
        <f>IF(OR(K1843&gt;3,T1843=0,NOT(U1843&gt;0)),"",T1843/U1843)</f>
        <v/>
      </c>
      <c r="Y1843" s="178" t="str">
        <f t="shared" si="86"/>
        <v/>
      </c>
      <c r="Z1843" s="178" t="str">
        <f t="shared" si="87"/>
        <v/>
      </c>
      <c r="AA1843" s="44"/>
      <c r="AB1843" s="65"/>
      <c r="AC1843" s="40"/>
    </row>
    <row r="1844" spans="1:29" ht="25" hidden="1">
      <c r="A1844" s="751">
        <v>62157</v>
      </c>
      <c r="B1844" s="752" t="s">
        <v>35</v>
      </c>
      <c r="C1844" s="751" t="s">
        <v>2960</v>
      </c>
      <c r="D1844" s="752" t="s">
        <v>3021</v>
      </c>
      <c r="E1844" s="752" t="s">
        <v>3022</v>
      </c>
      <c r="F1844" s="751">
        <v>62706</v>
      </c>
      <c r="G1844" s="752" t="s">
        <v>59</v>
      </c>
      <c r="H1844" s="752" t="s">
        <v>1244</v>
      </c>
      <c r="I1844" s="752" t="s">
        <v>60</v>
      </c>
      <c r="J1844" s="751">
        <v>22</v>
      </c>
      <c r="K1844" s="751">
        <v>2</v>
      </c>
      <c r="L1844" s="752" t="s">
        <v>54</v>
      </c>
      <c r="M1844" s="752" t="s">
        <v>468</v>
      </c>
      <c r="N1844" s="752" t="s">
        <v>469</v>
      </c>
      <c r="O1844" s="752" t="s">
        <v>469</v>
      </c>
      <c r="P1844" s="752" t="s">
        <v>1238</v>
      </c>
      <c r="Q1844" s="753">
        <v>0</v>
      </c>
      <c r="R1844" s="753">
        <v>0</v>
      </c>
      <c r="S1844" s="753">
        <v>3063</v>
      </c>
      <c r="T1844" s="753">
        <v>3063</v>
      </c>
      <c r="U1844" s="753">
        <v>344</v>
      </c>
      <c r="V1844" s="751">
        <v>2019</v>
      </c>
      <c r="W1844" s="222"/>
      <c r="X1844" s="186">
        <f>IF(OR(K1844&gt;3,T1844=0,NOT(U1844&gt;0)),"",T1844/U1844)</f>
        <v>8.904069767441861</v>
      </c>
      <c r="Y1844" s="178" t="str">
        <f t="shared" si="86"/>
        <v/>
      </c>
      <c r="Z1844" s="178" t="str">
        <f t="shared" si="87"/>
        <v/>
      </c>
      <c r="AA1844" s="44"/>
      <c r="AB1844" s="65"/>
      <c r="AC1844" s="40"/>
    </row>
    <row r="1845" spans="1:29" ht="25" hidden="1">
      <c r="A1845" s="751">
        <v>62159</v>
      </c>
      <c r="B1845" s="752" t="s">
        <v>35</v>
      </c>
      <c r="C1845" s="751" t="s">
        <v>2960</v>
      </c>
      <c r="D1845" s="752" t="s">
        <v>3023</v>
      </c>
      <c r="E1845" s="752" t="s">
        <v>2566</v>
      </c>
      <c r="F1845" s="751">
        <v>61610</v>
      </c>
      <c r="G1845" s="752" t="s">
        <v>59</v>
      </c>
      <c r="H1845" s="752" t="s">
        <v>1244</v>
      </c>
      <c r="I1845" s="752" t="s">
        <v>60</v>
      </c>
      <c r="J1845" s="751">
        <v>22</v>
      </c>
      <c r="K1845" s="751">
        <v>2</v>
      </c>
      <c r="L1845" s="752" t="s">
        <v>54</v>
      </c>
      <c r="M1845" s="752" t="s">
        <v>468</v>
      </c>
      <c r="N1845" s="752" t="s">
        <v>469</v>
      </c>
      <c r="O1845" s="752" t="s">
        <v>469</v>
      </c>
      <c r="P1845" s="752" t="s">
        <v>1238</v>
      </c>
      <c r="Q1845" s="753">
        <v>0</v>
      </c>
      <c r="R1845" s="753">
        <v>0</v>
      </c>
      <c r="S1845" s="753">
        <v>27405</v>
      </c>
      <c r="T1845" s="753">
        <v>27405</v>
      </c>
      <c r="U1845" s="753">
        <v>3078</v>
      </c>
      <c r="V1845" s="751">
        <v>2019</v>
      </c>
      <c r="W1845" s="222"/>
      <c r="X1845" s="186"/>
      <c r="Y1845" s="178" t="str">
        <f t="shared" si="86"/>
        <v/>
      </c>
      <c r="Z1845" s="178" t="str">
        <f t="shared" si="87"/>
        <v/>
      </c>
      <c r="AA1845" s="44"/>
      <c r="AB1845" s="65"/>
      <c r="AC1845" s="40"/>
    </row>
    <row r="1846" spans="1:29" ht="25" hidden="1">
      <c r="A1846" s="751">
        <v>62160</v>
      </c>
      <c r="B1846" s="752" t="s">
        <v>35</v>
      </c>
      <c r="C1846" s="751" t="s">
        <v>2960</v>
      </c>
      <c r="D1846" s="752" t="s">
        <v>3024</v>
      </c>
      <c r="E1846" s="752" t="s">
        <v>2566</v>
      </c>
      <c r="F1846" s="751">
        <v>61610</v>
      </c>
      <c r="G1846" s="752" t="s">
        <v>59</v>
      </c>
      <c r="H1846" s="752" t="s">
        <v>1244</v>
      </c>
      <c r="I1846" s="752" t="s">
        <v>60</v>
      </c>
      <c r="J1846" s="751">
        <v>22</v>
      </c>
      <c r="K1846" s="751">
        <v>2</v>
      </c>
      <c r="L1846" s="752" t="s">
        <v>54</v>
      </c>
      <c r="M1846" s="752" t="s">
        <v>468</v>
      </c>
      <c r="N1846" s="752" t="s">
        <v>469</v>
      </c>
      <c r="O1846" s="752" t="s">
        <v>469</v>
      </c>
      <c r="P1846" s="752" t="s">
        <v>1238</v>
      </c>
      <c r="Q1846" s="753">
        <v>0</v>
      </c>
      <c r="R1846" s="753">
        <v>0</v>
      </c>
      <c r="S1846" s="753">
        <v>30719</v>
      </c>
      <c r="T1846" s="753">
        <v>30719</v>
      </c>
      <c r="U1846" s="753">
        <v>3450</v>
      </c>
      <c r="V1846" s="751">
        <v>2019</v>
      </c>
      <c r="W1846" s="222"/>
      <c r="X1846" s="186"/>
      <c r="Y1846" s="178" t="str">
        <f t="shared" si="86"/>
        <v/>
      </c>
      <c r="Z1846" s="178" t="str">
        <f t="shared" si="87"/>
        <v/>
      </c>
      <c r="AA1846" s="44"/>
      <c r="AB1846" s="65"/>
      <c r="AC1846" s="40"/>
    </row>
    <row r="1847" spans="1:29" ht="25" hidden="1">
      <c r="A1847" s="751">
        <v>62174</v>
      </c>
      <c r="B1847" s="752" t="s">
        <v>35</v>
      </c>
      <c r="C1847" s="751" t="s">
        <v>2960</v>
      </c>
      <c r="D1847" s="752" t="s">
        <v>2586</v>
      </c>
      <c r="E1847" s="752" t="s">
        <v>2586</v>
      </c>
      <c r="F1847" s="751">
        <v>61690</v>
      </c>
      <c r="G1847" s="752" t="s">
        <v>59</v>
      </c>
      <c r="H1847" s="752" t="s">
        <v>1244</v>
      </c>
      <c r="I1847" s="752" t="s">
        <v>60</v>
      </c>
      <c r="J1847" s="751">
        <v>622</v>
      </c>
      <c r="K1847" s="751">
        <v>4</v>
      </c>
      <c r="L1847" s="752" t="s">
        <v>422</v>
      </c>
      <c r="M1847" s="752" t="s">
        <v>53</v>
      </c>
      <c r="N1847" s="752" t="s">
        <v>48</v>
      </c>
      <c r="O1847" s="752" t="s">
        <v>48</v>
      </c>
      <c r="P1847" s="752" t="s">
        <v>49</v>
      </c>
      <c r="Q1847" s="753">
        <v>57</v>
      </c>
      <c r="R1847" s="753">
        <v>57</v>
      </c>
      <c r="S1847" s="753">
        <v>314</v>
      </c>
      <c r="T1847" s="753">
        <v>314</v>
      </c>
      <c r="U1847" s="753">
        <v>30</v>
      </c>
      <c r="V1847" s="751">
        <v>2019</v>
      </c>
      <c r="W1847" s="222"/>
      <c r="X1847" s="186"/>
      <c r="Y1847" s="178" t="str">
        <f t="shared" si="86"/>
        <v/>
      </c>
      <c r="Z1847" s="178" t="str">
        <f t="shared" si="87"/>
        <v/>
      </c>
      <c r="AA1847" s="44"/>
      <c r="AB1847" s="65"/>
      <c r="AC1847" s="40"/>
    </row>
    <row r="1848" spans="1:29" hidden="1">
      <c r="A1848" s="751">
        <v>62196</v>
      </c>
      <c r="B1848" s="752" t="s">
        <v>35</v>
      </c>
      <c r="C1848" s="751" t="s">
        <v>2960</v>
      </c>
      <c r="D1848" s="752" t="s">
        <v>3025</v>
      </c>
      <c r="E1848" s="752" t="s">
        <v>2587</v>
      </c>
      <c r="F1848" s="751">
        <v>61700</v>
      </c>
      <c r="G1848" s="752" t="s">
        <v>83</v>
      </c>
      <c r="H1848" s="752" t="s">
        <v>1245</v>
      </c>
      <c r="I1848" s="752" t="s">
        <v>60</v>
      </c>
      <c r="J1848" s="751">
        <v>22</v>
      </c>
      <c r="K1848" s="751">
        <v>2</v>
      </c>
      <c r="L1848" s="752" t="s">
        <v>54</v>
      </c>
      <c r="M1848" s="752" t="s">
        <v>468</v>
      </c>
      <c r="N1848" s="752" t="s">
        <v>469</v>
      </c>
      <c r="O1848" s="752" t="s">
        <v>469</v>
      </c>
      <c r="P1848" s="752" t="s">
        <v>1238</v>
      </c>
      <c r="Q1848" s="753">
        <v>0</v>
      </c>
      <c r="R1848" s="753">
        <v>0</v>
      </c>
      <c r="S1848" s="753">
        <v>26400</v>
      </c>
      <c r="T1848" s="753">
        <v>26400</v>
      </c>
      <c r="U1848" s="753">
        <v>2965</v>
      </c>
      <c r="V1848" s="751">
        <v>2019</v>
      </c>
      <c r="W1848" s="222"/>
      <c r="X1848" s="186"/>
      <c r="Y1848" s="178" t="str">
        <f t="shared" si="86"/>
        <v/>
      </c>
      <c r="Z1848" s="178" t="str">
        <f t="shared" si="87"/>
        <v/>
      </c>
      <c r="AA1848" s="44"/>
      <c r="AB1848" s="65"/>
      <c r="AC1848" s="40"/>
    </row>
    <row r="1849" spans="1:29" ht="25" hidden="1">
      <c r="A1849" s="751">
        <v>62197</v>
      </c>
      <c r="B1849" s="752" t="s">
        <v>35</v>
      </c>
      <c r="C1849" s="751" t="s">
        <v>2960</v>
      </c>
      <c r="D1849" s="752" t="s">
        <v>2588</v>
      </c>
      <c r="E1849" s="752" t="s">
        <v>2589</v>
      </c>
      <c r="F1849" s="751">
        <v>61696</v>
      </c>
      <c r="G1849" s="752" t="s">
        <v>83</v>
      </c>
      <c r="H1849" s="752" t="s">
        <v>1245</v>
      </c>
      <c r="I1849" s="752" t="s">
        <v>60</v>
      </c>
      <c r="J1849" s="751">
        <v>22</v>
      </c>
      <c r="K1849" s="751">
        <v>2</v>
      </c>
      <c r="L1849" s="752" t="s">
        <v>54</v>
      </c>
      <c r="M1849" s="752" t="s">
        <v>468</v>
      </c>
      <c r="N1849" s="752" t="s">
        <v>469</v>
      </c>
      <c r="O1849" s="752" t="s">
        <v>469</v>
      </c>
      <c r="P1849" s="752" t="s">
        <v>1238</v>
      </c>
      <c r="Q1849" s="753">
        <v>0</v>
      </c>
      <c r="R1849" s="753">
        <v>0</v>
      </c>
      <c r="S1849" s="753">
        <v>30292</v>
      </c>
      <c r="T1849" s="753">
        <v>30292</v>
      </c>
      <c r="U1849" s="753">
        <v>3402</v>
      </c>
      <c r="V1849" s="751">
        <v>2019</v>
      </c>
      <c r="W1849" s="222"/>
      <c r="X1849" s="186"/>
      <c r="Y1849" s="178" t="str">
        <f t="shared" si="86"/>
        <v/>
      </c>
      <c r="Z1849" s="178" t="str">
        <f t="shared" si="87"/>
        <v/>
      </c>
      <c r="AA1849" s="44"/>
      <c r="AB1849" s="65"/>
      <c r="AC1849" s="40"/>
    </row>
    <row r="1850" spans="1:29" hidden="1">
      <c r="A1850" s="751">
        <v>62198</v>
      </c>
      <c r="B1850" s="752" t="s">
        <v>35</v>
      </c>
      <c r="C1850" s="751" t="s">
        <v>2960</v>
      </c>
      <c r="D1850" s="752" t="s">
        <v>3026</v>
      </c>
      <c r="E1850" s="752" t="s">
        <v>2590</v>
      </c>
      <c r="F1850" s="751">
        <v>61693</v>
      </c>
      <c r="G1850" s="752" t="s">
        <v>83</v>
      </c>
      <c r="H1850" s="752" t="s">
        <v>1245</v>
      </c>
      <c r="I1850" s="752" t="s">
        <v>60</v>
      </c>
      <c r="J1850" s="751">
        <v>22</v>
      </c>
      <c r="K1850" s="751">
        <v>2</v>
      </c>
      <c r="L1850" s="752" t="s">
        <v>54</v>
      </c>
      <c r="M1850" s="752" t="s">
        <v>468</v>
      </c>
      <c r="N1850" s="752" t="s">
        <v>469</v>
      </c>
      <c r="O1850" s="752" t="s">
        <v>469</v>
      </c>
      <c r="P1850" s="752" t="s">
        <v>1238</v>
      </c>
      <c r="Q1850" s="753">
        <v>0</v>
      </c>
      <c r="R1850" s="753">
        <v>0</v>
      </c>
      <c r="S1850" s="753">
        <v>27940</v>
      </c>
      <c r="T1850" s="753">
        <v>27940</v>
      </c>
      <c r="U1850" s="753">
        <v>3138</v>
      </c>
      <c r="V1850" s="751">
        <v>2019</v>
      </c>
      <c r="W1850" s="222"/>
      <c r="X1850" s="186"/>
      <c r="Y1850" s="178" t="str">
        <f t="shared" si="86"/>
        <v/>
      </c>
      <c r="Z1850" s="178" t="str">
        <f t="shared" si="87"/>
        <v/>
      </c>
      <c r="AA1850" s="44"/>
      <c r="AB1850" s="65"/>
      <c r="AC1850" s="40"/>
    </row>
    <row r="1851" spans="1:29" hidden="1">
      <c r="A1851" s="751">
        <v>62199</v>
      </c>
      <c r="B1851" s="752" t="s">
        <v>35</v>
      </c>
      <c r="C1851" s="751" t="s">
        <v>2960</v>
      </c>
      <c r="D1851" s="752" t="s">
        <v>3027</v>
      </c>
      <c r="E1851" s="752" t="s">
        <v>2591</v>
      </c>
      <c r="F1851" s="751">
        <v>61692</v>
      </c>
      <c r="G1851" s="752" t="s">
        <v>83</v>
      </c>
      <c r="H1851" s="752" t="s">
        <v>1245</v>
      </c>
      <c r="I1851" s="752" t="s">
        <v>60</v>
      </c>
      <c r="J1851" s="751">
        <v>22</v>
      </c>
      <c r="K1851" s="751">
        <v>2</v>
      </c>
      <c r="L1851" s="752" t="s">
        <v>54</v>
      </c>
      <c r="M1851" s="752" t="s">
        <v>468</v>
      </c>
      <c r="N1851" s="752" t="s">
        <v>469</v>
      </c>
      <c r="O1851" s="752" t="s">
        <v>469</v>
      </c>
      <c r="P1851" s="752" t="s">
        <v>1238</v>
      </c>
      <c r="Q1851" s="753">
        <v>0</v>
      </c>
      <c r="R1851" s="753">
        <v>0</v>
      </c>
      <c r="S1851" s="753">
        <v>26491</v>
      </c>
      <c r="T1851" s="753">
        <v>26491</v>
      </c>
      <c r="U1851" s="753">
        <v>2975</v>
      </c>
      <c r="V1851" s="751">
        <v>2019</v>
      </c>
      <c r="W1851" s="222"/>
      <c r="X1851" s="186">
        <f>IF(OR(K1851&gt;3,T1851=0,NOT(U1851&gt;0)),"",T1851/U1851)</f>
        <v>8.9045378151260497</v>
      </c>
      <c r="Y1851" s="178" t="str">
        <f t="shared" si="86"/>
        <v/>
      </c>
      <c r="Z1851" s="178" t="str">
        <f t="shared" si="87"/>
        <v/>
      </c>
      <c r="AA1851" s="44"/>
      <c r="AB1851" s="65"/>
      <c r="AC1851" s="40"/>
    </row>
    <row r="1852" spans="1:29" hidden="1">
      <c r="A1852" s="751">
        <v>62201</v>
      </c>
      <c r="B1852" s="752" t="s">
        <v>35</v>
      </c>
      <c r="C1852" s="751" t="s">
        <v>2960</v>
      </c>
      <c r="D1852" s="752" t="s">
        <v>3028</v>
      </c>
      <c r="E1852" s="752" t="s">
        <v>2592</v>
      </c>
      <c r="F1852" s="751">
        <v>61698</v>
      </c>
      <c r="G1852" s="752" t="s">
        <v>83</v>
      </c>
      <c r="H1852" s="752" t="s">
        <v>1245</v>
      </c>
      <c r="I1852" s="752" t="s">
        <v>60</v>
      </c>
      <c r="J1852" s="751">
        <v>22</v>
      </c>
      <c r="K1852" s="751">
        <v>2</v>
      </c>
      <c r="L1852" s="752" t="s">
        <v>54</v>
      </c>
      <c r="M1852" s="752" t="s">
        <v>468</v>
      </c>
      <c r="N1852" s="752" t="s">
        <v>469</v>
      </c>
      <c r="O1852" s="752" t="s">
        <v>469</v>
      </c>
      <c r="P1852" s="752" t="s">
        <v>1238</v>
      </c>
      <c r="Q1852" s="753">
        <v>0</v>
      </c>
      <c r="R1852" s="753">
        <v>0</v>
      </c>
      <c r="S1852" s="753">
        <v>25448</v>
      </c>
      <c r="T1852" s="753">
        <v>25448</v>
      </c>
      <c r="U1852" s="753">
        <v>2858</v>
      </c>
      <c r="V1852" s="751">
        <v>2019</v>
      </c>
      <c r="W1852" s="222"/>
      <c r="X1852" s="186"/>
      <c r="Y1852" s="178" t="str">
        <f t="shared" si="86"/>
        <v/>
      </c>
      <c r="Z1852" s="178" t="str">
        <f t="shared" si="87"/>
        <v/>
      </c>
      <c r="AA1852" s="44"/>
      <c r="AB1852" s="65"/>
      <c r="AC1852" s="40"/>
    </row>
    <row r="1853" spans="1:29" hidden="1">
      <c r="A1853" s="751">
        <v>62202</v>
      </c>
      <c r="B1853" s="752" t="s">
        <v>35</v>
      </c>
      <c r="C1853" s="751" t="s">
        <v>2960</v>
      </c>
      <c r="D1853" s="752" t="s">
        <v>3029</v>
      </c>
      <c r="E1853" s="752" t="s">
        <v>2340</v>
      </c>
      <c r="F1853" s="751">
        <v>61012</v>
      </c>
      <c r="G1853" s="752" t="s">
        <v>83</v>
      </c>
      <c r="H1853" s="752" t="s">
        <v>1245</v>
      </c>
      <c r="I1853" s="752" t="s">
        <v>60</v>
      </c>
      <c r="J1853" s="751">
        <v>22</v>
      </c>
      <c r="K1853" s="751">
        <v>2</v>
      </c>
      <c r="L1853" s="752" t="s">
        <v>54</v>
      </c>
      <c r="M1853" s="752" t="s">
        <v>468</v>
      </c>
      <c r="N1853" s="752" t="s">
        <v>469</v>
      </c>
      <c r="O1853" s="752" t="s">
        <v>469</v>
      </c>
      <c r="P1853" s="752" t="s">
        <v>1238</v>
      </c>
      <c r="Q1853" s="753">
        <v>0</v>
      </c>
      <c r="R1853" s="753">
        <v>0</v>
      </c>
      <c r="S1853" s="753">
        <v>16357</v>
      </c>
      <c r="T1853" s="753">
        <v>16357</v>
      </c>
      <c r="U1853" s="753">
        <v>1837</v>
      </c>
      <c r="V1853" s="751">
        <v>2019</v>
      </c>
      <c r="W1853" s="222"/>
      <c r="X1853" s="186"/>
      <c r="Y1853" s="178" t="str">
        <f t="shared" si="86"/>
        <v/>
      </c>
      <c r="Z1853" s="178" t="str">
        <f t="shared" si="87"/>
        <v/>
      </c>
      <c r="AA1853" s="44"/>
      <c r="AB1853" s="65"/>
      <c r="AC1853" s="40"/>
    </row>
    <row r="1854" spans="1:29" hidden="1">
      <c r="A1854" s="751">
        <v>62203</v>
      </c>
      <c r="B1854" s="752" t="s">
        <v>35</v>
      </c>
      <c r="C1854" s="751" t="s">
        <v>2960</v>
      </c>
      <c r="D1854" s="752" t="s">
        <v>2593</v>
      </c>
      <c r="E1854" s="752" t="s">
        <v>2593</v>
      </c>
      <c r="F1854" s="751">
        <v>61725</v>
      </c>
      <c r="G1854" s="752" t="s">
        <v>83</v>
      </c>
      <c r="H1854" s="752" t="s">
        <v>1245</v>
      </c>
      <c r="I1854" s="752" t="s">
        <v>60</v>
      </c>
      <c r="J1854" s="751">
        <v>22</v>
      </c>
      <c r="K1854" s="751">
        <v>2</v>
      </c>
      <c r="L1854" s="752" t="s">
        <v>54</v>
      </c>
      <c r="M1854" s="752" t="s">
        <v>468</v>
      </c>
      <c r="N1854" s="752" t="s">
        <v>469</v>
      </c>
      <c r="O1854" s="752" t="s">
        <v>469</v>
      </c>
      <c r="P1854" s="752" t="s">
        <v>1238</v>
      </c>
      <c r="Q1854" s="753">
        <v>0</v>
      </c>
      <c r="R1854" s="753">
        <v>0</v>
      </c>
      <c r="S1854" s="753">
        <v>29071</v>
      </c>
      <c r="T1854" s="753">
        <v>29071</v>
      </c>
      <c r="U1854" s="753">
        <v>3265</v>
      </c>
      <c r="V1854" s="751">
        <v>2019</v>
      </c>
      <c r="W1854" s="222"/>
      <c r="X1854" s="186"/>
      <c r="Y1854" s="178" t="str">
        <f t="shared" si="86"/>
        <v/>
      </c>
      <c r="Z1854" s="178" t="str">
        <f t="shared" si="87"/>
        <v/>
      </c>
      <c r="AA1854" s="44"/>
      <c r="AB1854" s="65"/>
      <c r="AC1854" s="40"/>
    </row>
    <row r="1855" spans="1:29" ht="25" hidden="1">
      <c r="A1855" s="751">
        <v>62219</v>
      </c>
      <c r="B1855" s="752" t="s">
        <v>35</v>
      </c>
      <c r="C1855" s="751" t="s">
        <v>2960</v>
      </c>
      <c r="D1855" s="752" t="s">
        <v>3030</v>
      </c>
      <c r="E1855" s="752" t="s">
        <v>380</v>
      </c>
      <c r="F1855" s="751">
        <v>11806</v>
      </c>
      <c r="G1855" s="752" t="s">
        <v>83</v>
      </c>
      <c r="H1855" s="752" t="s">
        <v>1245</v>
      </c>
      <c r="I1855" s="752" t="s">
        <v>60</v>
      </c>
      <c r="J1855" s="751">
        <v>22</v>
      </c>
      <c r="K1855" s="751">
        <v>1</v>
      </c>
      <c r="L1855" s="752" t="s">
        <v>36</v>
      </c>
      <c r="M1855" s="752" t="s">
        <v>2001</v>
      </c>
      <c r="N1855" s="752" t="s">
        <v>1107</v>
      </c>
      <c r="O1855" s="752" t="s">
        <v>84</v>
      </c>
      <c r="P1855" s="752" t="s">
        <v>2961</v>
      </c>
      <c r="Q1855" s="753">
        <v>104</v>
      </c>
      <c r="R1855" s="753">
        <v>104</v>
      </c>
      <c r="S1855" s="753">
        <v>0</v>
      </c>
      <c r="T1855" s="753">
        <v>0</v>
      </c>
      <c r="U1855" s="753">
        <v>-3</v>
      </c>
      <c r="V1855" s="751">
        <v>2019</v>
      </c>
      <c r="W1855" s="222"/>
      <c r="X1855" s="186"/>
      <c r="Y1855" s="178" t="str">
        <f t="shared" si="86"/>
        <v/>
      </c>
      <c r="Z1855" s="178" t="str">
        <f t="shared" si="87"/>
        <v/>
      </c>
      <c r="AA1855" s="44"/>
      <c r="AB1855" s="65"/>
      <c r="AC1855" s="40"/>
    </row>
    <row r="1856" spans="1:29" ht="25" hidden="1">
      <c r="A1856" s="751">
        <v>62226</v>
      </c>
      <c r="B1856" s="752" t="s">
        <v>35</v>
      </c>
      <c r="C1856" s="751" t="s">
        <v>2960</v>
      </c>
      <c r="D1856" s="752" t="s">
        <v>3031</v>
      </c>
      <c r="E1856" s="752" t="s">
        <v>2594</v>
      </c>
      <c r="F1856" s="751">
        <v>61744</v>
      </c>
      <c r="G1856" s="752" t="s">
        <v>83</v>
      </c>
      <c r="H1856" s="752" t="s">
        <v>1245</v>
      </c>
      <c r="I1856" s="752" t="s">
        <v>60</v>
      </c>
      <c r="J1856" s="751">
        <v>22</v>
      </c>
      <c r="K1856" s="751">
        <v>2</v>
      </c>
      <c r="L1856" s="752" t="s">
        <v>54</v>
      </c>
      <c r="M1856" s="752" t="s">
        <v>468</v>
      </c>
      <c r="N1856" s="752" t="s">
        <v>469</v>
      </c>
      <c r="O1856" s="752" t="s">
        <v>469</v>
      </c>
      <c r="P1856" s="752" t="s">
        <v>1238</v>
      </c>
      <c r="Q1856" s="753">
        <v>0</v>
      </c>
      <c r="R1856" s="753">
        <v>0</v>
      </c>
      <c r="S1856" s="753">
        <v>22008</v>
      </c>
      <c r="T1856" s="753">
        <v>22008</v>
      </c>
      <c r="U1856" s="753">
        <v>2472</v>
      </c>
      <c r="V1856" s="751">
        <v>2019</v>
      </c>
      <c r="W1856" s="222"/>
      <c r="X1856" s="186"/>
      <c r="Y1856" s="178" t="str">
        <f t="shared" si="86"/>
        <v/>
      </c>
      <c r="Z1856" s="178" t="str">
        <f t="shared" si="87"/>
        <v/>
      </c>
      <c r="AA1856" s="44"/>
      <c r="AB1856" s="65"/>
      <c r="AC1856" s="40"/>
    </row>
    <row r="1857" spans="1:29" ht="25" hidden="1">
      <c r="A1857" s="751">
        <v>62250</v>
      </c>
      <c r="B1857" s="752" t="s">
        <v>35</v>
      </c>
      <c r="C1857" s="751" t="s">
        <v>2960</v>
      </c>
      <c r="D1857" s="752" t="s">
        <v>2595</v>
      </c>
      <c r="E1857" s="752" t="s">
        <v>2595</v>
      </c>
      <c r="F1857" s="751">
        <v>61774</v>
      </c>
      <c r="G1857" s="752" t="s">
        <v>59</v>
      </c>
      <c r="H1857" s="752" t="s">
        <v>1244</v>
      </c>
      <c r="I1857" s="752" t="s">
        <v>60</v>
      </c>
      <c r="J1857" s="751">
        <v>622</v>
      </c>
      <c r="K1857" s="751">
        <v>4</v>
      </c>
      <c r="L1857" s="752" t="s">
        <v>422</v>
      </c>
      <c r="M1857" s="752" t="s">
        <v>53</v>
      </c>
      <c r="N1857" s="752" t="s">
        <v>48</v>
      </c>
      <c r="O1857" s="752" t="s">
        <v>48</v>
      </c>
      <c r="P1857" s="752" t="s">
        <v>49</v>
      </c>
      <c r="Q1857" s="753">
        <v>155</v>
      </c>
      <c r="R1857" s="753">
        <v>155</v>
      </c>
      <c r="S1857" s="753">
        <v>854</v>
      </c>
      <c r="T1857" s="753">
        <v>854</v>
      </c>
      <c r="U1857" s="753">
        <v>90</v>
      </c>
      <c r="V1857" s="751">
        <v>2019</v>
      </c>
      <c r="W1857" s="222"/>
      <c r="X1857" s="186" t="str">
        <f t="shared" ref="X1857:X1862" si="88">IF(OR(K1857&gt;3,T1857=0,NOT(U1857&gt;0)),"",T1857/U1857)</f>
        <v/>
      </c>
      <c r="Y1857" s="178" t="str">
        <f t="shared" si="86"/>
        <v/>
      </c>
      <c r="Z1857" s="178" t="str">
        <f t="shared" si="87"/>
        <v/>
      </c>
      <c r="AA1857" s="44"/>
      <c r="AB1857" s="65"/>
      <c r="AC1857" s="40"/>
    </row>
    <row r="1858" spans="1:29" ht="25" hidden="1">
      <c r="A1858" s="751">
        <v>62257</v>
      </c>
      <c r="B1858" s="752" t="s">
        <v>35</v>
      </c>
      <c r="C1858" s="751" t="s">
        <v>2960</v>
      </c>
      <c r="D1858" s="752" t="s">
        <v>2596</v>
      </c>
      <c r="E1858" s="752" t="s">
        <v>1158</v>
      </c>
      <c r="F1858" s="751">
        <v>2144</v>
      </c>
      <c r="G1858" s="752" t="s">
        <v>83</v>
      </c>
      <c r="H1858" s="752" t="s">
        <v>1245</v>
      </c>
      <c r="I1858" s="752" t="s">
        <v>60</v>
      </c>
      <c r="J1858" s="751">
        <v>22</v>
      </c>
      <c r="K1858" s="751">
        <v>1</v>
      </c>
      <c r="L1858" s="752" t="s">
        <v>36</v>
      </c>
      <c r="M1858" s="752" t="s">
        <v>2001</v>
      </c>
      <c r="N1858" s="752" t="s">
        <v>1107</v>
      </c>
      <c r="O1858" s="752" t="s">
        <v>84</v>
      </c>
      <c r="P1858" s="752" t="s">
        <v>2961</v>
      </c>
      <c r="Q1858" s="753">
        <v>273</v>
      </c>
      <c r="R1858" s="753">
        <v>273</v>
      </c>
      <c r="S1858" s="753">
        <v>0</v>
      </c>
      <c r="T1858" s="753">
        <v>0</v>
      </c>
      <c r="U1858" s="753">
        <v>-64</v>
      </c>
      <c r="V1858" s="751">
        <v>2019</v>
      </c>
      <c r="W1858" s="222"/>
      <c r="X1858" s="186" t="str">
        <f t="shared" si="88"/>
        <v/>
      </c>
      <c r="Y1858" s="178" t="str">
        <f t="shared" si="86"/>
        <v/>
      </c>
      <c r="Z1858" s="178" t="str">
        <f t="shared" si="87"/>
        <v/>
      </c>
      <c r="AA1858" s="44"/>
      <c r="AB1858" s="65"/>
      <c r="AC1858" s="40"/>
    </row>
    <row r="1859" spans="1:29" hidden="1">
      <c r="A1859" s="751">
        <v>62264</v>
      </c>
      <c r="B1859" s="752" t="s">
        <v>35</v>
      </c>
      <c r="C1859" s="751" t="s">
        <v>2960</v>
      </c>
      <c r="D1859" s="752" t="s">
        <v>2597</v>
      </c>
      <c r="E1859" s="752" t="s">
        <v>2570</v>
      </c>
      <c r="F1859" s="751">
        <v>54913</v>
      </c>
      <c r="G1859" s="752" t="s">
        <v>83</v>
      </c>
      <c r="H1859" s="752" t="s">
        <v>1245</v>
      </c>
      <c r="I1859" s="752" t="s">
        <v>60</v>
      </c>
      <c r="J1859" s="751">
        <v>22</v>
      </c>
      <c r="K1859" s="751">
        <v>1</v>
      </c>
      <c r="L1859" s="752" t="s">
        <v>36</v>
      </c>
      <c r="M1859" s="752" t="s">
        <v>468</v>
      </c>
      <c r="N1859" s="752" t="s">
        <v>469</v>
      </c>
      <c r="O1859" s="752" t="s">
        <v>469</v>
      </c>
      <c r="P1859" s="752" t="s">
        <v>1238</v>
      </c>
      <c r="Q1859" s="753">
        <v>0</v>
      </c>
      <c r="R1859" s="753">
        <v>0</v>
      </c>
      <c r="S1859" s="753">
        <v>13909</v>
      </c>
      <c r="T1859" s="753">
        <v>13909</v>
      </c>
      <c r="U1859" s="753">
        <v>1562</v>
      </c>
      <c r="V1859" s="751">
        <v>2019</v>
      </c>
      <c r="W1859" s="222"/>
      <c r="X1859" s="186">
        <f t="shared" si="88"/>
        <v>8.9046094750320108</v>
      </c>
      <c r="Y1859" s="178" t="str">
        <f t="shared" si="86"/>
        <v/>
      </c>
      <c r="Z1859" s="178" t="str">
        <f t="shared" si="87"/>
        <v/>
      </c>
      <c r="AA1859" s="44"/>
      <c r="AB1859" s="65"/>
      <c r="AC1859" s="40"/>
    </row>
    <row r="1860" spans="1:29" hidden="1">
      <c r="A1860" s="751">
        <v>62265</v>
      </c>
      <c r="B1860" s="752" t="s">
        <v>35</v>
      </c>
      <c r="C1860" s="751" t="s">
        <v>2960</v>
      </c>
      <c r="D1860" s="752" t="s">
        <v>2598</v>
      </c>
      <c r="E1860" s="752" t="s">
        <v>2570</v>
      </c>
      <c r="F1860" s="751">
        <v>54913</v>
      </c>
      <c r="G1860" s="752" t="s">
        <v>83</v>
      </c>
      <c r="H1860" s="752" t="s">
        <v>1245</v>
      </c>
      <c r="I1860" s="752" t="s">
        <v>60</v>
      </c>
      <c r="J1860" s="751">
        <v>22</v>
      </c>
      <c r="K1860" s="751">
        <v>1</v>
      </c>
      <c r="L1860" s="752" t="s">
        <v>36</v>
      </c>
      <c r="M1860" s="752" t="s">
        <v>468</v>
      </c>
      <c r="N1860" s="752" t="s">
        <v>469</v>
      </c>
      <c r="O1860" s="752" t="s">
        <v>469</v>
      </c>
      <c r="P1860" s="752" t="s">
        <v>1238</v>
      </c>
      <c r="Q1860" s="753">
        <v>0</v>
      </c>
      <c r="R1860" s="753">
        <v>0</v>
      </c>
      <c r="S1860" s="753">
        <v>19135</v>
      </c>
      <c r="T1860" s="753">
        <v>19135</v>
      </c>
      <c r="U1860" s="753">
        <v>2149</v>
      </c>
      <c r="V1860" s="751">
        <v>2019</v>
      </c>
      <c r="W1860" s="222"/>
      <c r="X1860" s="186">
        <f t="shared" si="88"/>
        <v>8.9041414611447181</v>
      </c>
      <c r="Y1860" s="178" t="str">
        <f t="shared" si="86"/>
        <v/>
      </c>
      <c r="Z1860" s="178" t="str">
        <f t="shared" si="87"/>
        <v/>
      </c>
      <c r="AA1860" s="44"/>
      <c r="AB1860" s="65"/>
      <c r="AC1860" s="40"/>
    </row>
    <row r="1861" spans="1:29" hidden="1">
      <c r="A1861" s="751">
        <v>62266</v>
      </c>
      <c r="B1861" s="752" t="s">
        <v>35</v>
      </c>
      <c r="C1861" s="751" t="s">
        <v>2960</v>
      </c>
      <c r="D1861" s="752" t="s">
        <v>2599</v>
      </c>
      <c r="E1861" s="752" t="s">
        <v>2570</v>
      </c>
      <c r="F1861" s="751">
        <v>54913</v>
      </c>
      <c r="G1861" s="752" t="s">
        <v>83</v>
      </c>
      <c r="H1861" s="752" t="s">
        <v>1245</v>
      </c>
      <c r="I1861" s="752" t="s">
        <v>60</v>
      </c>
      <c r="J1861" s="751">
        <v>22</v>
      </c>
      <c r="K1861" s="751">
        <v>1</v>
      </c>
      <c r="L1861" s="752" t="s">
        <v>36</v>
      </c>
      <c r="M1861" s="752" t="s">
        <v>468</v>
      </c>
      <c r="N1861" s="752" t="s">
        <v>469</v>
      </c>
      <c r="O1861" s="752" t="s">
        <v>469</v>
      </c>
      <c r="P1861" s="752" t="s">
        <v>1238</v>
      </c>
      <c r="Q1861" s="753">
        <v>0</v>
      </c>
      <c r="R1861" s="753">
        <v>0</v>
      </c>
      <c r="S1861" s="753">
        <v>14121</v>
      </c>
      <c r="T1861" s="753">
        <v>14121</v>
      </c>
      <c r="U1861" s="753">
        <v>1586</v>
      </c>
      <c r="V1861" s="751">
        <v>2019</v>
      </c>
      <c r="W1861" s="222"/>
      <c r="X1861" s="186">
        <f t="shared" si="88"/>
        <v>8.9035308953341747</v>
      </c>
      <c r="Y1861" s="178" t="str">
        <f t="shared" si="86"/>
        <v/>
      </c>
      <c r="Z1861" s="178" t="str">
        <f t="shared" si="87"/>
        <v/>
      </c>
      <c r="AA1861" s="44"/>
      <c r="AB1861" s="65"/>
      <c r="AC1861" s="40"/>
    </row>
    <row r="1862" spans="1:29" ht="25" hidden="1">
      <c r="A1862" s="751">
        <v>62270</v>
      </c>
      <c r="B1862" s="752" t="s">
        <v>35</v>
      </c>
      <c r="C1862" s="751" t="s">
        <v>2960</v>
      </c>
      <c r="D1862" s="752" t="s">
        <v>2600</v>
      </c>
      <c r="E1862" s="752" t="s">
        <v>2600</v>
      </c>
      <c r="F1862" s="751">
        <v>61802</v>
      </c>
      <c r="G1862" s="752" t="s">
        <v>59</v>
      </c>
      <c r="H1862" s="752" t="s">
        <v>1244</v>
      </c>
      <c r="I1862" s="752" t="s">
        <v>60</v>
      </c>
      <c r="J1862" s="751">
        <v>622</v>
      </c>
      <c r="K1862" s="751">
        <v>4</v>
      </c>
      <c r="L1862" s="752" t="s">
        <v>422</v>
      </c>
      <c r="M1862" s="752" t="s">
        <v>53</v>
      </c>
      <c r="N1862" s="752" t="s">
        <v>48</v>
      </c>
      <c r="O1862" s="752" t="s">
        <v>48</v>
      </c>
      <c r="P1862" s="752" t="s">
        <v>49</v>
      </c>
      <c r="Q1862" s="753">
        <v>162</v>
      </c>
      <c r="R1862" s="753">
        <v>162</v>
      </c>
      <c r="S1862" s="753">
        <v>892</v>
      </c>
      <c r="T1862" s="753">
        <v>892</v>
      </c>
      <c r="U1862" s="753">
        <v>31</v>
      </c>
      <c r="V1862" s="751">
        <v>2019</v>
      </c>
      <c r="W1862" s="222"/>
      <c r="X1862" s="186" t="str">
        <f t="shared" si="88"/>
        <v/>
      </c>
      <c r="Y1862" s="178" t="str">
        <f t="shared" si="86"/>
        <v/>
      </c>
      <c r="Z1862" s="178" t="str">
        <f t="shared" si="87"/>
        <v/>
      </c>
      <c r="AA1862" s="44"/>
      <c r="AB1862" s="65"/>
      <c r="AC1862" s="40"/>
    </row>
    <row r="1863" spans="1:29" ht="25" hidden="1">
      <c r="A1863" s="751">
        <v>62271</v>
      </c>
      <c r="B1863" s="752" t="s">
        <v>35</v>
      </c>
      <c r="C1863" s="751" t="s">
        <v>2960</v>
      </c>
      <c r="D1863" s="752" t="s">
        <v>2601</v>
      </c>
      <c r="E1863" s="752" t="s">
        <v>2601</v>
      </c>
      <c r="F1863" s="751">
        <v>61800</v>
      </c>
      <c r="G1863" s="752" t="s">
        <v>59</v>
      </c>
      <c r="H1863" s="752" t="s">
        <v>1244</v>
      </c>
      <c r="I1863" s="752" t="s">
        <v>60</v>
      </c>
      <c r="J1863" s="751">
        <v>622</v>
      </c>
      <c r="K1863" s="751">
        <v>4</v>
      </c>
      <c r="L1863" s="752" t="s">
        <v>422</v>
      </c>
      <c r="M1863" s="752" t="s">
        <v>53</v>
      </c>
      <c r="N1863" s="752" t="s">
        <v>48</v>
      </c>
      <c r="O1863" s="752" t="s">
        <v>48</v>
      </c>
      <c r="P1863" s="752" t="s">
        <v>49</v>
      </c>
      <c r="Q1863" s="753">
        <v>104</v>
      </c>
      <c r="R1863" s="753">
        <v>104</v>
      </c>
      <c r="S1863" s="753">
        <v>573</v>
      </c>
      <c r="T1863" s="753">
        <v>573</v>
      </c>
      <c r="U1863" s="753">
        <v>58</v>
      </c>
      <c r="V1863" s="751">
        <v>2019</v>
      </c>
      <c r="W1863" s="222"/>
      <c r="X1863" s="186"/>
      <c r="Y1863" s="178" t="str">
        <f t="shared" ref="Y1863:Y1908" si="89">IF(AND($M1863=$Y$2,$N1863=$Y$3,NOT($Q1863=$R1863),NOT($U1863=0)),IF($K1863=5,$S1863/($U1863+(8/5)*$U1863),IF($K1863=7,$S1863/($U1863+(29/25)*$U1863),"")),"")</f>
        <v/>
      </c>
      <c r="Z1863" s="178" t="str">
        <f t="shared" ref="Z1863:Z1908" si="90">IF(AND($M1863=$Y$2,$N1863=$Y$4,NOT($Q1863=$R1863),NOT($U1863=0)),IF($K1863=5,$S1863/($U1863+(8/5)*$U1863),IF($K1863=7,$S1863/($U1863+(29/25)*$U1863),"")),"")</f>
        <v/>
      </c>
      <c r="AA1863" s="44"/>
      <c r="AB1863" s="65"/>
      <c r="AC1863" s="40"/>
    </row>
    <row r="1864" spans="1:29" hidden="1">
      <c r="A1864" s="751">
        <v>62301</v>
      </c>
      <c r="B1864" s="752" t="s">
        <v>35</v>
      </c>
      <c r="C1864" s="751" t="s">
        <v>2960</v>
      </c>
      <c r="D1864" s="752" t="s">
        <v>2602</v>
      </c>
      <c r="E1864" s="752" t="s">
        <v>2340</v>
      </c>
      <c r="F1864" s="751">
        <v>61012</v>
      </c>
      <c r="G1864" s="752" t="s">
        <v>136</v>
      </c>
      <c r="H1864" s="752" t="s">
        <v>1245</v>
      </c>
      <c r="I1864" s="752" t="s">
        <v>60</v>
      </c>
      <c r="J1864" s="751">
        <v>22</v>
      </c>
      <c r="K1864" s="751">
        <v>2</v>
      </c>
      <c r="L1864" s="752" t="s">
        <v>54</v>
      </c>
      <c r="M1864" s="752" t="s">
        <v>468</v>
      </c>
      <c r="N1864" s="752" t="s">
        <v>469</v>
      </c>
      <c r="O1864" s="752" t="s">
        <v>469</v>
      </c>
      <c r="P1864" s="752" t="s">
        <v>1238</v>
      </c>
      <c r="Q1864" s="753">
        <v>0</v>
      </c>
      <c r="R1864" s="753">
        <v>0</v>
      </c>
      <c r="S1864" s="753">
        <v>42846</v>
      </c>
      <c r="T1864" s="753">
        <v>42846</v>
      </c>
      <c r="U1864" s="753">
        <v>4812</v>
      </c>
      <c r="V1864" s="751">
        <v>2019</v>
      </c>
      <c r="W1864" s="222"/>
      <c r="X1864" s="186"/>
      <c r="Y1864" s="178" t="str">
        <f t="shared" si="89"/>
        <v/>
      </c>
      <c r="Z1864" s="178" t="str">
        <f t="shared" si="90"/>
        <v/>
      </c>
      <c r="AA1864" s="44"/>
      <c r="AB1864" s="65"/>
      <c r="AC1864" s="40"/>
    </row>
    <row r="1865" spans="1:29" hidden="1">
      <c r="A1865" s="751">
        <v>62302</v>
      </c>
      <c r="B1865" s="752" t="s">
        <v>35</v>
      </c>
      <c r="C1865" s="751" t="s">
        <v>2960</v>
      </c>
      <c r="D1865" s="752" t="s">
        <v>2603</v>
      </c>
      <c r="E1865" s="752" t="s">
        <v>2340</v>
      </c>
      <c r="F1865" s="751">
        <v>61012</v>
      </c>
      <c r="G1865" s="752" t="s">
        <v>136</v>
      </c>
      <c r="H1865" s="752" t="s">
        <v>1245</v>
      </c>
      <c r="I1865" s="752" t="s">
        <v>60</v>
      </c>
      <c r="J1865" s="751">
        <v>22</v>
      </c>
      <c r="K1865" s="751">
        <v>2</v>
      </c>
      <c r="L1865" s="752" t="s">
        <v>54</v>
      </c>
      <c r="M1865" s="752" t="s">
        <v>468</v>
      </c>
      <c r="N1865" s="752" t="s">
        <v>469</v>
      </c>
      <c r="O1865" s="752" t="s">
        <v>469</v>
      </c>
      <c r="P1865" s="752" t="s">
        <v>1238</v>
      </c>
      <c r="Q1865" s="753">
        <v>0</v>
      </c>
      <c r="R1865" s="753">
        <v>0</v>
      </c>
      <c r="S1865" s="753">
        <v>0</v>
      </c>
      <c r="T1865" s="753">
        <v>0</v>
      </c>
      <c r="U1865" s="753">
        <v>0</v>
      </c>
      <c r="V1865" s="751">
        <v>2019</v>
      </c>
      <c r="W1865" s="222"/>
      <c r="X1865" s="186"/>
      <c r="Y1865" s="178" t="str">
        <f t="shared" si="89"/>
        <v/>
      </c>
      <c r="Z1865" s="178" t="str">
        <f t="shared" si="90"/>
        <v/>
      </c>
      <c r="AA1865" s="44"/>
      <c r="AB1865" s="65"/>
      <c r="AC1865" s="40"/>
    </row>
    <row r="1866" spans="1:29" hidden="1">
      <c r="A1866" s="751">
        <v>62303</v>
      </c>
      <c r="B1866" s="752" t="s">
        <v>35</v>
      </c>
      <c r="C1866" s="751" t="s">
        <v>2960</v>
      </c>
      <c r="D1866" s="752" t="s">
        <v>2604</v>
      </c>
      <c r="E1866" s="752" t="s">
        <v>2340</v>
      </c>
      <c r="F1866" s="751">
        <v>61012</v>
      </c>
      <c r="G1866" s="752" t="s">
        <v>59</v>
      </c>
      <c r="H1866" s="752" t="s">
        <v>1244</v>
      </c>
      <c r="I1866" s="752" t="s">
        <v>60</v>
      </c>
      <c r="J1866" s="751">
        <v>22</v>
      </c>
      <c r="K1866" s="751">
        <v>2</v>
      </c>
      <c r="L1866" s="752" t="s">
        <v>54</v>
      </c>
      <c r="M1866" s="752" t="s">
        <v>468</v>
      </c>
      <c r="N1866" s="752" t="s">
        <v>469</v>
      </c>
      <c r="O1866" s="752" t="s">
        <v>469</v>
      </c>
      <c r="P1866" s="752" t="s">
        <v>1238</v>
      </c>
      <c r="Q1866" s="753">
        <v>0</v>
      </c>
      <c r="R1866" s="753">
        <v>0</v>
      </c>
      <c r="S1866" s="753">
        <v>28840</v>
      </c>
      <c r="T1866" s="753">
        <v>28840</v>
      </c>
      <c r="U1866" s="753">
        <v>3239</v>
      </c>
      <c r="V1866" s="751">
        <v>2019</v>
      </c>
      <c r="W1866" s="222"/>
      <c r="X1866" s="186"/>
      <c r="Y1866" s="178" t="str">
        <f t="shared" si="89"/>
        <v/>
      </c>
      <c r="Z1866" s="178" t="str">
        <f t="shared" si="90"/>
        <v/>
      </c>
      <c r="AA1866" s="44"/>
      <c r="AB1866" s="65"/>
      <c r="AC1866" s="40"/>
    </row>
    <row r="1867" spans="1:29" ht="25" hidden="1">
      <c r="A1867" s="751">
        <v>62322</v>
      </c>
      <c r="B1867" s="752" t="s">
        <v>35</v>
      </c>
      <c r="C1867" s="751" t="s">
        <v>2960</v>
      </c>
      <c r="D1867" s="752" t="s">
        <v>2605</v>
      </c>
      <c r="E1867" s="752" t="s">
        <v>2605</v>
      </c>
      <c r="F1867" s="751">
        <v>61822</v>
      </c>
      <c r="G1867" s="752" t="s">
        <v>59</v>
      </c>
      <c r="H1867" s="752" t="s">
        <v>1244</v>
      </c>
      <c r="I1867" s="752" t="s">
        <v>60</v>
      </c>
      <c r="J1867" s="751">
        <v>22</v>
      </c>
      <c r="K1867" s="751">
        <v>2</v>
      </c>
      <c r="L1867" s="752" t="s">
        <v>54</v>
      </c>
      <c r="M1867" s="752" t="s">
        <v>37</v>
      </c>
      <c r="N1867" s="752" t="s">
        <v>38</v>
      </c>
      <c r="O1867" s="752" t="s">
        <v>39</v>
      </c>
      <c r="P1867" s="752" t="s">
        <v>1238</v>
      </c>
      <c r="Q1867" s="753">
        <v>0</v>
      </c>
      <c r="R1867" s="753">
        <v>0</v>
      </c>
      <c r="S1867" s="753">
        <v>215434</v>
      </c>
      <c r="T1867" s="753">
        <v>215434</v>
      </c>
      <c r="U1867" s="753">
        <v>24195</v>
      </c>
      <c r="V1867" s="751">
        <v>2019</v>
      </c>
      <c r="W1867" s="222"/>
      <c r="X1867" s="186"/>
      <c r="Y1867" s="178" t="str">
        <f t="shared" si="89"/>
        <v/>
      </c>
      <c r="Z1867" s="178" t="str">
        <f t="shared" si="90"/>
        <v/>
      </c>
      <c r="AA1867" s="44"/>
      <c r="AB1867" s="65"/>
      <c r="AC1867" s="40"/>
    </row>
    <row r="1868" spans="1:29" hidden="1">
      <c r="A1868" s="751">
        <v>62324</v>
      </c>
      <c r="B1868" s="752" t="s">
        <v>35</v>
      </c>
      <c r="C1868" s="751" t="s">
        <v>2960</v>
      </c>
      <c r="D1868" s="752" t="s">
        <v>2606</v>
      </c>
      <c r="E1868" s="752" t="s">
        <v>2340</v>
      </c>
      <c r="F1868" s="751">
        <v>61012</v>
      </c>
      <c r="G1868" s="752" t="s">
        <v>83</v>
      </c>
      <c r="H1868" s="752" t="s">
        <v>1245</v>
      </c>
      <c r="I1868" s="752" t="s">
        <v>60</v>
      </c>
      <c r="J1868" s="751">
        <v>22</v>
      </c>
      <c r="K1868" s="751">
        <v>2</v>
      </c>
      <c r="L1868" s="752" t="s">
        <v>54</v>
      </c>
      <c r="M1868" s="752" t="s">
        <v>468</v>
      </c>
      <c r="N1868" s="752" t="s">
        <v>469</v>
      </c>
      <c r="O1868" s="752" t="s">
        <v>469</v>
      </c>
      <c r="P1868" s="752" t="s">
        <v>1238</v>
      </c>
      <c r="Q1868" s="753">
        <v>0</v>
      </c>
      <c r="R1868" s="753">
        <v>0</v>
      </c>
      <c r="S1868" s="753">
        <v>26888</v>
      </c>
      <c r="T1868" s="753">
        <v>26888</v>
      </c>
      <c r="U1868" s="753">
        <v>3020</v>
      </c>
      <c r="V1868" s="751">
        <v>2019</v>
      </c>
      <c r="W1868" s="222"/>
      <c r="X1868" s="186"/>
      <c r="Y1868" s="178" t="str">
        <f t="shared" si="89"/>
        <v/>
      </c>
      <c r="Z1868" s="178" t="str">
        <f t="shared" si="90"/>
        <v/>
      </c>
      <c r="AA1868" s="44"/>
      <c r="AB1868" s="65"/>
      <c r="AC1868" s="40"/>
    </row>
    <row r="1869" spans="1:29" hidden="1">
      <c r="A1869" s="751">
        <v>62363</v>
      </c>
      <c r="B1869" s="752" t="s">
        <v>35</v>
      </c>
      <c r="C1869" s="751" t="s">
        <v>2960</v>
      </c>
      <c r="D1869" s="752" t="s">
        <v>2607</v>
      </c>
      <c r="E1869" s="752" t="s">
        <v>2607</v>
      </c>
      <c r="F1869" s="751">
        <v>61889</v>
      </c>
      <c r="G1869" s="752" t="s">
        <v>83</v>
      </c>
      <c r="H1869" s="752" t="s">
        <v>1245</v>
      </c>
      <c r="I1869" s="752" t="s">
        <v>60</v>
      </c>
      <c r="J1869" s="751">
        <v>22</v>
      </c>
      <c r="K1869" s="751">
        <v>2</v>
      </c>
      <c r="L1869" s="752" t="s">
        <v>54</v>
      </c>
      <c r="M1869" s="752" t="s">
        <v>468</v>
      </c>
      <c r="N1869" s="752" t="s">
        <v>469</v>
      </c>
      <c r="O1869" s="752" t="s">
        <v>469</v>
      </c>
      <c r="P1869" s="752" t="s">
        <v>1238</v>
      </c>
      <c r="Q1869" s="753">
        <v>0</v>
      </c>
      <c r="R1869" s="753">
        <v>0</v>
      </c>
      <c r="S1869" s="753">
        <v>13551</v>
      </c>
      <c r="T1869" s="753">
        <v>13551</v>
      </c>
      <c r="U1869" s="753">
        <v>1522</v>
      </c>
      <c r="V1869" s="751">
        <v>2019</v>
      </c>
      <c r="W1869" s="222"/>
      <c r="X1869" s="186"/>
      <c r="Y1869" s="178" t="str">
        <f t="shared" si="89"/>
        <v/>
      </c>
      <c r="Z1869" s="178" t="str">
        <f t="shared" si="90"/>
        <v/>
      </c>
      <c r="AA1869" s="44"/>
      <c r="AB1869" s="65"/>
      <c r="AC1869" s="40"/>
    </row>
    <row r="1870" spans="1:29" ht="25" hidden="1">
      <c r="A1870" s="751">
        <v>62366</v>
      </c>
      <c r="B1870" s="752" t="s">
        <v>35</v>
      </c>
      <c r="C1870" s="751" t="s">
        <v>2960</v>
      </c>
      <c r="D1870" s="752" t="s">
        <v>2608</v>
      </c>
      <c r="E1870" s="752" t="s">
        <v>2608</v>
      </c>
      <c r="F1870" s="751">
        <v>61892</v>
      </c>
      <c r="G1870" s="752" t="s">
        <v>59</v>
      </c>
      <c r="H1870" s="752" t="s">
        <v>1244</v>
      </c>
      <c r="I1870" s="752" t="s">
        <v>60</v>
      </c>
      <c r="J1870" s="751">
        <v>622</v>
      </c>
      <c r="K1870" s="751">
        <v>4</v>
      </c>
      <c r="L1870" s="752" t="s">
        <v>422</v>
      </c>
      <c r="M1870" s="752" t="s">
        <v>53</v>
      </c>
      <c r="N1870" s="752" t="s">
        <v>48</v>
      </c>
      <c r="O1870" s="752" t="s">
        <v>48</v>
      </c>
      <c r="P1870" s="752" t="s">
        <v>49</v>
      </c>
      <c r="Q1870" s="753">
        <v>46</v>
      </c>
      <c r="R1870" s="753">
        <v>46</v>
      </c>
      <c r="S1870" s="753">
        <v>254</v>
      </c>
      <c r="T1870" s="753">
        <v>254</v>
      </c>
      <c r="U1870" s="753">
        <v>19</v>
      </c>
      <c r="V1870" s="751">
        <v>2019</v>
      </c>
      <c r="W1870" s="222"/>
      <c r="X1870" s="186"/>
      <c r="Y1870" s="178" t="str">
        <f t="shared" si="89"/>
        <v/>
      </c>
      <c r="Z1870" s="178" t="str">
        <f t="shared" si="90"/>
        <v/>
      </c>
      <c r="AA1870" s="44"/>
      <c r="AB1870" s="65"/>
      <c r="AC1870" s="40"/>
    </row>
    <row r="1871" spans="1:29" hidden="1">
      <c r="A1871" s="751">
        <v>62368</v>
      </c>
      <c r="B1871" s="752" t="s">
        <v>35</v>
      </c>
      <c r="C1871" s="751" t="s">
        <v>2960</v>
      </c>
      <c r="D1871" s="752" t="s">
        <v>2609</v>
      </c>
      <c r="E1871" s="752" t="s">
        <v>2610</v>
      </c>
      <c r="F1871" s="751">
        <v>61894</v>
      </c>
      <c r="G1871" s="752" t="s">
        <v>83</v>
      </c>
      <c r="H1871" s="752" t="s">
        <v>1245</v>
      </c>
      <c r="I1871" s="752" t="s">
        <v>60</v>
      </c>
      <c r="J1871" s="751">
        <v>22</v>
      </c>
      <c r="K1871" s="751">
        <v>2</v>
      </c>
      <c r="L1871" s="752" t="s">
        <v>54</v>
      </c>
      <c r="M1871" s="752" t="s">
        <v>468</v>
      </c>
      <c r="N1871" s="752" t="s">
        <v>469</v>
      </c>
      <c r="O1871" s="752" t="s">
        <v>469</v>
      </c>
      <c r="P1871" s="752" t="s">
        <v>1238</v>
      </c>
      <c r="Q1871" s="753">
        <v>0</v>
      </c>
      <c r="R1871" s="753">
        <v>0</v>
      </c>
      <c r="S1871" s="753">
        <v>43932</v>
      </c>
      <c r="T1871" s="753">
        <v>43932</v>
      </c>
      <c r="U1871" s="753">
        <v>4934</v>
      </c>
      <c r="V1871" s="751">
        <v>2019</v>
      </c>
      <c r="W1871" s="222"/>
      <c r="X1871" s="186">
        <f>IF(OR(K1871&gt;3,T1871=0,NOT(U1871&gt;0)),"",T1871/U1871)</f>
        <v>8.9039319010944471</v>
      </c>
      <c r="Y1871" s="178" t="str">
        <f t="shared" si="89"/>
        <v/>
      </c>
      <c r="Z1871" s="178" t="str">
        <f t="shared" si="90"/>
        <v/>
      </c>
      <c r="AA1871" s="44"/>
      <c r="AB1871" s="65"/>
      <c r="AC1871" s="40"/>
    </row>
    <row r="1872" spans="1:29" hidden="1">
      <c r="A1872" s="751">
        <v>62369</v>
      </c>
      <c r="B1872" s="752" t="s">
        <v>35</v>
      </c>
      <c r="C1872" s="751" t="s">
        <v>2960</v>
      </c>
      <c r="D1872" s="752" t="s">
        <v>2611</v>
      </c>
      <c r="E1872" s="752" t="s">
        <v>2612</v>
      </c>
      <c r="F1872" s="751">
        <v>61895</v>
      </c>
      <c r="G1872" s="752" t="s">
        <v>83</v>
      </c>
      <c r="H1872" s="752" t="s">
        <v>1245</v>
      </c>
      <c r="I1872" s="752" t="s">
        <v>60</v>
      </c>
      <c r="J1872" s="751">
        <v>22</v>
      </c>
      <c r="K1872" s="751">
        <v>2</v>
      </c>
      <c r="L1872" s="752" t="s">
        <v>54</v>
      </c>
      <c r="M1872" s="752" t="s">
        <v>468</v>
      </c>
      <c r="N1872" s="752" t="s">
        <v>469</v>
      </c>
      <c r="O1872" s="752" t="s">
        <v>469</v>
      </c>
      <c r="P1872" s="752" t="s">
        <v>1238</v>
      </c>
      <c r="Q1872" s="753">
        <v>0</v>
      </c>
      <c r="R1872" s="753">
        <v>0</v>
      </c>
      <c r="S1872" s="753">
        <v>43621</v>
      </c>
      <c r="T1872" s="753">
        <v>43621</v>
      </c>
      <c r="U1872" s="753">
        <v>4899</v>
      </c>
      <c r="V1872" s="751">
        <v>2019</v>
      </c>
      <c r="W1872" s="222"/>
      <c r="X1872" s="186">
        <f>IF(OR(K1872&gt;3,T1872=0,NOT(U1872&gt;0)),"",T1872/U1872)</f>
        <v>8.9040620534803026</v>
      </c>
      <c r="Y1872" s="178" t="str">
        <f t="shared" si="89"/>
        <v/>
      </c>
      <c r="Z1872" s="178" t="str">
        <f t="shared" si="90"/>
        <v/>
      </c>
      <c r="AA1872" s="44"/>
      <c r="AB1872" s="65"/>
      <c r="AC1872" s="40"/>
    </row>
    <row r="1873" spans="1:29" hidden="1">
      <c r="A1873" s="751">
        <v>62370</v>
      </c>
      <c r="B1873" s="752" t="s">
        <v>35</v>
      </c>
      <c r="C1873" s="751" t="s">
        <v>2960</v>
      </c>
      <c r="D1873" s="752" t="s">
        <v>2613</v>
      </c>
      <c r="E1873" s="752" t="s">
        <v>2614</v>
      </c>
      <c r="F1873" s="751">
        <v>61896</v>
      </c>
      <c r="G1873" s="752" t="s">
        <v>83</v>
      </c>
      <c r="H1873" s="752" t="s">
        <v>1245</v>
      </c>
      <c r="I1873" s="752" t="s">
        <v>60</v>
      </c>
      <c r="J1873" s="751">
        <v>22</v>
      </c>
      <c r="K1873" s="751">
        <v>2</v>
      </c>
      <c r="L1873" s="752" t="s">
        <v>54</v>
      </c>
      <c r="M1873" s="752" t="s">
        <v>468</v>
      </c>
      <c r="N1873" s="752" t="s">
        <v>469</v>
      </c>
      <c r="O1873" s="752" t="s">
        <v>469</v>
      </c>
      <c r="P1873" s="752" t="s">
        <v>1238</v>
      </c>
      <c r="Q1873" s="753">
        <v>0</v>
      </c>
      <c r="R1873" s="753">
        <v>0</v>
      </c>
      <c r="S1873" s="753">
        <v>12038</v>
      </c>
      <c r="T1873" s="753">
        <v>12038</v>
      </c>
      <c r="U1873" s="753">
        <v>1352</v>
      </c>
      <c r="V1873" s="751">
        <v>2019</v>
      </c>
      <c r="W1873" s="222"/>
      <c r="X1873" s="186"/>
      <c r="Y1873" s="178" t="str">
        <f t="shared" si="89"/>
        <v/>
      </c>
      <c r="Z1873" s="178" t="str">
        <f t="shared" si="90"/>
        <v/>
      </c>
      <c r="AA1873" s="44"/>
      <c r="AB1873" s="65"/>
      <c r="AC1873" s="40"/>
    </row>
    <row r="1874" spans="1:29" hidden="1">
      <c r="A1874" s="751">
        <v>62371</v>
      </c>
      <c r="B1874" s="752" t="s">
        <v>35</v>
      </c>
      <c r="C1874" s="751" t="s">
        <v>2960</v>
      </c>
      <c r="D1874" s="752" t="s">
        <v>2615</v>
      </c>
      <c r="E1874" s="752" t="s">
        <v>2616</v>
      </c>
      <c r="F1874" s="751">
        <v>61897</v>
      </c>
      <c r="G1874" s="752" t="s">
        <v>83</v>
      </c>
      <c r="H1874" s="752" t="s">
        <v>1245</v>
      </c>
      <c r="I1874" s="752" t="s">
        <v>60</v>
      </c>
      <c r="J1874" s="751">
        <v>22</v>
      </c>
      <c r="K1874" s="751">
        <v>2</v>
      </c>
      <c r="L1874" s="752" t="s">
        <v>54</v>
      </c>
      <c r="M1874" s="752" t="s">
        <v>468</v>
      </c>
      <c r="N1874" s="752" t="s">
        <v>469</v>
      </c>
      <c r="O1874" s="752" t="s">
        <v>469</v>
      </c>
      <c r="P1874" s="752" t="s">
        <v>1238</v>
      </c>
      <c r="Q1874" s="753">
        <v>0</v>
      </c>
      <c r="R1874" s="753">
        <v>0</v>
      </c>
      <c r="S1874" s="753">
        <v>15361</v>
      </c>
      <c r="T1874" s="753">
        <v>15361</v>
      </c>
      <c r="U1874" s="753">
        <v>1725</v>
      </c>
      <c r="V1874" s="751">
        <v>2019</v>
      </c>
      <c r="W1874" s="222"/>
      <c r="X1874" s="186"/>
      <c r="Y1874" s="178" t="str">
        <f t="shared" si="89"/>
        <v/>
      </c>
      <c r="Z1874" s="178" t="str">
        <f t="shared" si="90"/>
        <v/>
      </c>
      <c r="AA1874" s="44"/>
      <c r="AB1874" s="65"/>
      <c r="AC1874" s="40"/>
    </row>
    <row r="1875" spans="1:29" hidden="1">
      <c r="A1875" s="751">
        <v>62372</v>
      </c>
      <c r="B1875" s="752" t="s">
        <v>35</v>
      </c>
      <c r="C1875" s="751" t="s">
        <v>2960</v>
      </c>
      <c r="D1875" s="752" t="s">
        <v>2617</v>
      </c>
      <c r="E1875" s="752" t="s">
        <v>2618</v>
      </c>
      <c r="F1875" s="751">
        <v>61898</v>
      </c>
      <c r="G1875" s="752" t="s">
        <v>83</v>
      </c>
      <c r="H1875" s="752" t="s">
        <v>1245</v>
      </c>
      <c r="I1875" s="752" t="s">
        <v>60</v>
      </c>
      <c r="J1875" s="751">
        <v>22</v>
      </c>
      <c r="K1875" s="751">
        <v>2</v>
      </c>
      <c r="L1875" s="752" t="s">
        <v>54</v>
      </c>
      <c r="M1875" s="752" t="s">
        <v>468</v>
      </c>
      <c r="N1875" s="752" t="s">
        <v>469</v>
      </c>
      <c r="O1875" s="752" t="s">
        <v>469</v>
      </c>
      <c r="P1875" s="752" t="s">
        <v>1238</v>
      </c>
      <c r="Q1875" s="753">
        <v>0</v>
      </c>
      <c r="R1875" s="753">
        <v>0</v>
      </c>
      <c r="S1875" s="753">
        <v>16276</v>
      </c>
      <c r="T1875" s="753">
        <v>16276</v>
      </c>
      <c r="U1875" s="753">
        <v>1828</v>
      </c>
      <c r="V1875" s="751">
        <v>2019</v>
      </c>
      <c r="W1875" s="222"/>
      <c r="X1875" s="186"/>
      <c r="Y1875" s="178" t="str">
        <f t="shared" si="89"/>
        <v/>
      </c>
      <c r="Z1875" s="178" t="str">
        <f t="shared" si="90"/>
        <v/>
      </c>
      <c r="AA1875" s="44"/>
      <c r="AB1875" s="65"/>
      <c r="AC1875" s="40"/>
    </row>
    <row r="1876" spans="1:29" ht="25" hidden="1">
      <c r="A1876" s="751">
        <v>62381</v>
      </c>
      <c r="B1876" s="752" t="s">
        <v>35</v>
      </c>
      <c r="C1876" s="751" t="s">
        <v>2960</v>
      </c>
      <c r="D1876" s="752" t="s">
        <v>3032</v>
      </c>
      <c r="E1876" s="752" t="s">
        <v>137</v>
      </c>
      <c r="F1876" s="751">
        <v>7601</v>
      </c>
      <c r="G1876" s="752" t="s">
        <v>91</v>
      </c>
      <c r="H1876" s="752" t="s">
        <v>1245</v>
      </c>
      <c r="I1876" s="752" t="s">
        <v>60</v>
      </c>
      <c r="J1876" s="751">
        <v>22</v>
      </c>
      <c r="K1876" s="751">
        <v>1</v>
      </c>
      <c r="L1876" s="752" t="s">
        <v>36</v>
      </c>
      <c r="M1876" s="752" t="s">
        <v>2001</v>
      </c>
      <c r="N1876" s="752" t="s">
        <v>1107</v>
      </c>
      <c r="O1876" s="752" t="s">
        <v>84</v>
      </c>
      <c r="P1876" s="752" t="s">
        <v>2961</v>
      </c>
      <c r="Q1876" s="753">
        <v>204</v>
      </c>
      <c r="R1876" s="753">
        <v>204</v>
      </c>
      <c r="S1876" s="753">
        <v>0</v>
      </c>
      <c r="T1876" s="753">
        <v>0</v>
      </c>
      <c r="U1876" s="753">
        <v>-156</v>
      </c>
      <c r="V1876" s="751">
        <v>2019</v>
      </c>
      <c r="W1876" s="222"/>
      <c r="X1876" s="186"/>
      <c r="Y1876" s="178" t="str">
        <f t="shared" si="89"/>
        <v/>
      </c>
      <c r="Z1876" s="178" t="str">
        <f t="shared" si="90"/>
        <v/>
      </c>
      <c r="AA1876" s="44"/>
      <c r="AB1876" s="65"/>
      <c r="AC1876" s="40"/>
    </row>
    <row r="1877" spans="1:29" hidden="1">
      <c r="A1877" s="751">
        <v>62381</v>
      </c>
      <c r="B1877" s="752" t="s">
        <v>35</v>
      </c>
      <c r="C1877" s="751" t="s">
        <v>2960</v>
      </c>
      <c r="D1877" s="752" t="s">
        <v>3032</v>
      </c>
      <c r="E1877" s="752" t="s">
        <v>137</v>
      </c>
      <c r="F1877" s="751">
        <v>7601</v>
      </c>
      <c r="G1877" s="752" t="s">
        <v>91</v>
      </c>
      <c r="H1877" s="752" t="s">
        <v>1245</v>
      </c>
      <c r="I1877" s="752" t="s">
        <v>60</v>
      </c>
      <c r="J1877" s="751">
        <v>22</v>
      </c>
      <c r="K1877" s="751">
        <v>1</v>
      </c>
      <c r="L1877" s="752" t="s">
        <v>36</v>
      </c>
      <c r="M1877" s="752" t="s">
        <v>468</v>
      </c>
      <c r="N1877" s="752" t="s">
        <v>469</v>
      </c>
      <c r="O1877" s="752" t="s">
        <v>469</v>
      </c>
      <c r="P1877" s="752" t="s">
        <v>1238</v>
      </c>
      <c r="Q1877" s="753">
        <v>0</v>
      </c>
      <c r="R1877" s="753">
        <v>0</v>
      </c>
      <c r="S1877" s="753">
        <v>10791</v>
      </c>
      <c r="T1877" s="753">
        <v>10791</v>
      </c>
      <c r="U1877" s="753">
        <v>1212</v>
      </c>
      <c r="V1877" s="751">
        <v>2019</v>
      </c>
      <c r="W1877" s="222"/>
      <c r="X1877" s="186"/>
      <c r="Y1877" s="178" t="str">
        <f t="shared" si="89"/>
        <v/>
      </c>
      <c r="Z1877" s="178" t="str">
        <f t="shared" si="90"/>
        <v/>
      </c>
      <c r="AA1877" s="44"/>
      <c r="AB1877" s="65"/>
      <c r="AC1877" s="40"/>
    </row>
    <row r="1878" spans="1:29" ht="25" hidden="1">
      <c r="A1878" s="751">
        <v>62382</v>
      </c>
      <c r="B1878" s="752" t="s">
        <v>35</v>
      </c>
      <c r="C1878" s="751" t="s">
        <v>2960</v>
      </c>
      <c r="D1878" s="752" t="s">
        <v>3033</v>
      </c>
      <c r="E1878" s="752" t="s">
        <v>137</v>
      </c>
      <c r="F1878" s="751">
        <v>7601</v>
      </c>
      <c r="G1878" s="752" t="s">
        <v>91</v>
      </c>
      <c r="H1878" s="752" t="s">
        <v>1245</v>
      </c>
      <c r="I1878" s="752" t="s">
        <v>60</v>
      </c>
      <c r="J1878" s="751">
        <v>22</v>
      </c>
      <c r="K1878" s="751">
        <v>1</v>
      </c>
      <c r="L1878" s="752" t="s">
        <v>36</v>
      </c>
      <c r="M1878" s="752" t="s">
        <v>2001</v>
      </c>
      <c r="N1878" s="752" t="s">
        <v>1107</v>
      </c>
      <c r="O1878" s="752" t="s">
        <v>84</v>
      </c>
      <c r="P1878" s="752" t="s">
        <v>2961</v>
      </c>
      <c r="Q1878" s="753">
        <v>41</v>
      </c>
      <c r="R1878" s="753">
        <v>41</v>
      </c>
      <c r="S1878" s="753">
        <v>0</v>
      </c>
      <c r="T1878" s="753">
        <v>0</v>
      </c>
      <c r="U1878" s="753">
        <v>-164</v>
      </c>
      <c r="V1878" s="751">
        <v>2019</v>
      </c>
      <c r="W1878" s="222"/>
      <c r="X1878" s="186" t="str">
        <f>IF(OR(K1878&gt;3,T1878=0,NOT(U1878&gt;0)),"",T1878/U1878)</f>
        <v/>
      </c>
      <c r="Y1878" s="178" t="str">
        <f t="shared" si="89"/>
        <v/>
      </c>
      <c r="Z1878" s="178" t="str">
        <f t="shared" si="90"/>
        <v/>
      </c>
      <c r="AA1878" s="44"/>
      <c r="AB1878" s="65"/>
      <c r="AC1878" s="40"/>
    </row>
    <row r="1879" spans="1:29" ht="25" hidden="1">
      <c r="A1879" s="751">
        <v>62382</v>
      </c>
      <c r="B1879" s="752" t="s">
        <v>35</v>
      </c>
      <c r="C1879" s="751" t="s">
        <v>2960</v>
      </c>
      <c r="D1879" s="752" t="s">
        <v>3033</v>
      </c>
      <c r="E1879" s="752" t="s">
        <v>137</v>
      </c>
      <c r="F1879" s="751">
        <v>7601</v>
      </c>
      <c r="G1879" s="752" t="s">
        <v>91</v>
      </c>
      <c r="H1879" s="752" t="s">
        <v>1245</v>
      </c>
      <c r="I1879" s="752" t="s">
        <v>60</v>
      </c>
      <c r="J1879" s="751">
        <v>22</v>
      </c>
      <c r="K1879" s="751">
        <v>1</v>
      </c>
      <c r="L1879" s="752" t="s">
        <v>36</v>
      </c>
      <c r="M1879" s="752" t="s">
        <v>468</v>
      </c>
      <c r="N1879" s="752" t="s">
        <v>469</v>
      </c>
      <c r="O1879" s="752" t="s">
        <v>469</v>
      </c>
      <c r="P1879" s="752" t="s">
        <v>1238</v>
      </c>
      <c r="Q1879" s="753">
        <v>0</v>
      </c>
      <c r="R1879" s="753">
        <v>0</v>
      </c>
      <c r="S1879" s="753">
        <v>8877</v>
      </c>
      <c r="T1879" s="753">
        <v>8877</v>
      </c>
      <c r="U1879" s="753">
        <v>997</v>
      </c>
      <c r="V1879" s="751">
        <v>2019</v>
      </c>
      <c r="W1879" s="222"/>
      <c r="X1879" s="186"/>
      <c r="Y1879" s="178" t="str">
        <f t="shared" si="89"/>
        <v/>
      </c>
      <c r="Z1879" s="178" t="str">
        <f t="shared" si="90"/>
        <v/>
      </c>
      <c r="AA1879" s="44"/>
      <c r="AB1879" s="65"/>
      <c r="AC1879" s="40"/>
    </row>
    <row r="1880" spans="1:29" ht="25" hidden="1">
      <c r="A1880" s="751">
        <v>62383</v>
      </c>
      <c r="B1880" s="752" t="s">
        <v>35</v>
      </c>
      <c r="C1880" s="751" t="s">
        <v>2960</v>
      </c>
      <c r="D1880" s="752" t="s">
        <v>3034</v>
      </c>
      <c r="E1880" s="752" t="s">
        <v>137</v>
      </c>
      <c r="F1880" s="751">
        <v>7601</v>
      </c>
      <c r="G1880" s="752" t="s">
        <v>91</v>
      </c>
      <c r="H1880" s="752" t="s">
        <v>1245</v>
      </c>
      <c r="I1880" s="752" t="s">
        <v>60</v>
      </c>
      <c r="J1880" s="751">
        <v>22</v>
      </c>
      <c r="K1880" s="751">
        <v>1</v>
      </c>
      <c r="L1880" s="752" t="s">
        <v>36</v>
      </c>
      <c r="M1880" s="752" t="s">
        <v>2001</v>
      </c>
      <c r="N1880" s="752" t="s">
        <v>1107</v>
      </c>
      <c r="O1880" s="752" t="s">
        <v>84</v>
      </c>
      <c r="P1880" s="752" t="s">
        <v>2961</v>
      </c>
      <c r="Q1880" s="753">
        <v>40</v>
      </c>
      <c r="R1880" s="753">
        <v>40</v>
      </c>
      <c r="S1880" s="753">
        <v>0</v>
      </c>
      <c r="T1880" s="753">
        <v>0</v>
      </c>
      <c r="U1880" s="753">
        <v>-156</v>
      </c>
      <c r="V1880" s="751">
        <v>2019</v>
      </c>
      <c r="W1880" s="222"/>
      <c r="X1880" s="186"/>
      <c r="Y1880" s="178" t="str">
        <f t="shared" si="89"/>
        <v/>
      </c>
      <c r="Z1880" s="178" t="str">
        <f t="shared" si="90"/>
        <v/>
      </c>
      <c r="AA1880" s="44"/>
      <c r="AB1880" s="65"/>
      <c r="AC1880" s="40"/>
    </row>
    <row r="1881" spans="1:29" hidden="1">
      <c r="A1881" s="751">
        <v>62383</v>
      </c>
      <c r="B1881" s="752" t="s">
        <v>35</v>
      </c>
      <c r="C1881" s="751" t="s">
        <v>2960</v>
      </c>
      <c r="D1881" s="752" t="s">
        <v>3034</v>
      </c>
      <c r="E1881" s="752" t="s">
        <v>137</v>
      </c>
      <c r="F1881" s="751">
        <v>7601</v>
      </c>
      <c r="G1881" s="752" t="s">
        <v>91</v>
      </c>
      <c r="H1881" s="752" t="s">
        <v>1245</v>
      </c>
      <c r="I1881" s="752" t="s">
        <v>60</v>
      </c>
      <c r="J1881" s="751">
        <v>22</v>
      </c>
      <c r="K1881" s="751">
        <v>1</v>
      </c>
      <c r="L1881" s="752" t="s">
        <v>36</v>
      </c>
      <c r="M1881" s="752" t="s">
        <v>468</v>
      </c>
      <c r="N1881" s="752" t="s">
        <v>469</v>
      </c>
      <c r="O1881" s="752" t="s">
        <v>469</v>
      </c>
      <c r="P1881" s="752" t="s">
        <v>1238</v>
      </c>
      <c r="Q1881" s="753">
        <v>0</v>
      </c>
      <c r="R1881" s="753">
        <v>0</v>
      </c>
      <c r="S1881" s="753">
        <v>15439</v>
      </c>
      <c r="T1881" s="753">
        <v>15439</v>
      </c>
      <c r="U1881" s="753">
        <v>1734</v>
      </c>
      <c r="V1881" s="751">
        <v>2019</v>
      </c>
      <c r="W1881" s="222"/>
      <c r="X1881" s="186"/>
      <c r="Y1881" s="178" t="str">
        <f t="shared" si="89"/>
        <v/>
      </c>
      <c r="Z1881" s="178" t="str">
        <f t="shared" si="90"/>
        <v/>
      </c>
      <c r="AA1881" s="44"/>
      <c r="AB1881" s="65"/>
      <c r="AC1881" s="40"/>
    </row>
    <row r="1882" spans="1:29" hidden="1">
      <c r="A1882" s="751">
        <v>62389</v>
      </c>
      <c r="B1882" s="752" t="s">
        <v>35</v>
      </c>
      <c r="C1882" s="751" t="s">
        <v>2960</v>
      </c>
      <c r="D1882" s="752" t="s">
        <v>3035</v>
      </c>
      <c r="E1882" s="752" t="s">
        <v>3036</v>
      </c>
      <c r="F1882" s="751">
        <v>61916</v>
      </c>
      <c r="G1882" s="752" t="s">
        <v>59</v>
      </c>
      <c r="H1882" s="752" t="s">
        <v>1244</v>
      </c>
      <c r="I1882" s="752" t="s">
        <v>60</v>
      </c>
      <c r="J1882" s="751">
        <v>22</v>
      </c>
      <c r="K1882" s="751">
        <v>2</v>
      </c>
      <c r="L1882" s="752" t="s">
        <v>54</v>
      </c>
      <c r="M1882" s="752" t="s">
        <v>468</v>
      </c>
      <c r="N1882" s="752" t="s">
        <v>469</v>
      </c>
      <c r="O1882" s="752" t="s">
        <v>469</v>
      </c>
      <c r="P1882" s="752" t="s">
        <v>1238</v>
      </c>
      <c r="Q1882" s="753">
        <v>0</v>
      </c>
      <c r="R1882" s="753">
        <v>0</v>
      </c>
      <c r="S1882" s="753">
        <v>30149</v>
      </c>
      <c r="T1882" s="753">
        <v>30149</v>
      </c>
      <c r="U1882" s="753">
        <v>3386</v>
      </c>
      <c r="V1882" s="751">
        <v>2019</v>
      </c>
      <c r="W1882" s="222"/>
      <c r="X1882" s="186"/>
      <c r="Y1882" s="178" t="str">
        <f t="shared" si="89"/>
        <v/>
      </c>
      <c r="Z1882" s="178" t="str">
        <f t="shared" si="90"/>
        <v/>
      </c>
      <c r="AA1882" s="44"/>
      <c r="AB1882" s="65"/>
      <c r="AC1882" s="40"/>
    </row>
    <row r="1883" spans="1:29" ht="25" hidden="1">
      <c r="A1883" s="751">
        <v>62398</v>
      </c>
      <c r="B1883" s="752" t="s">
        <v>35</v>
      </c>
      <c r="C1883" s="751" t="s">
        <v>2960</v>
      </c>
      <c r="D1883" s="752" t="s">
        <v>2619</v>
      </c>
      <c r="E1883" s="752" t="s">
        <v>2619</v>
      </c>
      <c r="F1883" s="751">
        <v>61936</v>
      </c>
      <c r="G1883" s="752" t="s">
        <v>59</v>
      </c>
      <c r="H1883" s="752" t="s">
        <v>1244</v>
      </c>
      <c r="I1883" s="752" t="s">
        <v>60</v>
      </c>
      <c r="J1883" s="751">
        <v>622</v>
      </c>
      <c r="K1883" s="751">
        <v>4</v>
      </c>
      <c r="L1883" s="752" t="s">
        <v>422</v>
      </c>
      <c r="M1883" s="752" t="s">
        <v>53</v>
      </c>
      <c r="N1883" s="752" t="s">
        <v>48</v>
      </c>
      <c r="O1883" s="752" t="s">
        <v>48</v>
      </c>
      <c r="P1883" s="752" t="s">
        <v>49</v>
      </c>
      <c r="Q1883" s="753">
        <v>107</v>
      </c>
      <c r="R1883" s="753">
        <v>107</v>
      </c>
      <c r="S1883" s="753">
        <v>590</v>
      </c>
      <c r="T1883" s="753">
        <v>590</v>
      </c>
      <c r="U1883" s="753">
        <v>61</v>
      </c>
      <c r="V1883" s="751">
        <v>2019</v>
      </c>
      <c r="W1883" s="222"/>
      <c r="X1883" s="186"/>
      <c r="Y1883" s="178" t="str">
        <f t="shared" si="89"/>
        <v/>
      </c>
      <c r="Z1883" s="178" t="str">
        <f t="shared" si="90"/>
        <v/>
      </c>
      <c r="AA1883" s="44"/>
      <c r="AB1883" s="65"/>
      <c r="AC1883" s="40"/>
    </row>
    <row r="1884" spans="1:29" hidden="1">
      <c r="A1884" s="751">
        <v>62412</v>
      </c>
      <c r="B1884" s="752" t="s">
        <v>35</v>
      </c>
      <c r="C1884" s="751" t="s">
        <v>2960</v>
      </c>
      <c r="D1884" s="752" t="s">
        <v>3037</v>
      </c>
      <c r="E1884" s="752" t="s">
        <v>3038</v>
      </c>
      <c r="F1884" s="751">
        <v>61925</v>
      </c>
      <c r="G1884" s="752" t="s">
        <v>59</v>
      </c>
      <c r="H1884" s="752" t="s">
        <v>1244</v>
      </c>
      <c r="I1884" s="752" t="s">
        <v>60</v>
      </c>
      <c r="J1884" s="751">
        <v>22</v>
      </c>
      <c r="K1884" s="751">
        <v>2</v>
      </c>
      <c r="L1884" s="752" t="s">
        <v>54</v>
      </c>
      <c r="M1884" s="752" t="s">
        <v>468</v>
      </c>
      <c r="N1884" s="752" t="s">
        <v>469</v>
      </c>
      <c r="O1884" s="752" t="s">
        <v>469</v>
      </c>
      <c r="P1884" s="752" t="s">
        <v>1238</v>
      </c>
      <c r="Q1884" s="753">
        <v>0</v>
      </c>
      <c r="R1884" s="753">
        <v>0</v>
      </c>
      <c r="S1884" s="753">
        <v>0</v>
      </c>
      <c r="T1884" s="753">
        <v>0</v>
      </c>
      <c r="U1884" s="753">
        <v>0</v>
      </c>
      <c r="V1884" s="751">
        <v>2019</v>
      </c>
      <c r="W1884" s="222"/>
      <c r="X1884" s="186"/>
      <c r="Y1884" s="178" t="str">
        <f t="shared" si="89"/>
        <v/>
      </c>
      <c r="Z1884" s="178" t="str">
        <f t="shared" si="90"/>
        <v/>
      </c>
      <c r="AA1884" s="44"/>
      <c r="AB1884" s="65"/>
      <c r="AC1884" s="40"/>
    </row>
    <row r="1885" spans="1:29" hidden="1">
      <c r="A1885" s="751">
        <v>62413</v>
      </c>
      <c r="B1885" s="752" t="s">
        <v>35</v>
      </c>
      <c r="C1885" s="751" t="s">
        <v>2960</v>
      </c>
      <c r="D1885" s="752" t="s">
        <v>3039</v>
      </c>
      <c r="E1885" s="752" t="s">
        <v>3040</v>
      </c>
      <c r="F1885" s="751">
        <v>61926</v>
      </c>
      <c r="G1885" s="752" t="s">
        <v>59</v>
      </c>
      <c r="H1885" s="752" t="s">
        <v>1244</v>
      </c>
      <c r="I1885" s="752" t="s">
        <v>60</v>
      </c>
      <c r="J1885" s="751">
        <v>22</v>
      </c>
      <c r="K1885" s="751">
        <v>2</v>
      </c>
      <c r="L1885" s="752" t="s">
        <v>54</v>
      </c>
      <c r="M1885" s="752" t="s">
        <v>468</v>
      </c>
      <c r="N1885" s="752" t="s">
        <v>469</v>
      </c>
      <c r="O1885" s="752" t="s">
        <v>469</v>
      </c>
      <c r="P1885" s="752" t="s">
        <v>1238</v>
      </c>
      <c r="Q1885" s="753">
        <v>0</v>
      </c>
      <c r="R1885" s="753">
        <v>0</v>
      </c>
      <c r="S1885" s="753">
        <v>0</v>
      </c>
      <c r="T1885" s="753">
        <v>0</v>
      </c>
      <c r="U1885" s="753">
        <v>0</v>
      </c>
      <c r="V1885" s="751">
        <v>2019</v>
      </c>
      <c r="W1885" s="222"/>
      <c r="X1885" s="186"/>
      <c r="Y1885" s="178" t="str">
        <f t="shared" si="89"/>
        <v/>
      </c>
      <c r="Z1885" s="178" t="str">
        <f t="shared" si="90"/>
        <v/>
      </c>
      <c r="AA1885" s="44"/>
      <c r="AB1885" s="65"/>
      <c r="AC1885" s="40"/>
    </row>
    <row r="1886" spans="1:29" ht="25" hidden="1">
      <c r="A1886" s="751">
        <v>62421</v>
      </c>
      <c r="B1886" s="752" t="s">
        <v>35</v>
      </c>
      <c r="C1886" s="751" t="s">
        <v>2960</v>
      </c>
      <c r="D1886" s="752" t="s">
        <v>2620</v>
      </c>
      <c r="E1886" s="752" t="s">
        <v>2620</v>
      </c>
      <c r="F1886" s="751">
        <v>61947</v>
      </c>
      <c r="G1886" s="752" t="s">
        <v>59</v>
      </c>
      <c r="H1886" s="752" t="s">
        <v>1244</v>
      </c>
      <c r="I1886" s="752" t="s">
        <v>60</v>
      </c>
      <c r="J1886" s="751">
        <v>622</v>
      </c>
      <c r="K1886" s="751">
        <v>4</v>
      </c>
      <c r="L1886" s="752" t="s">
        <v>422</v>
      </c>
      <c r="M1886" s="752" t="s">
        <v>53</v>
      </c>
      <c r="N1886" s="752" t="s">
        <v>48</v>
      </c>
      <c r="O1886" s="752" t="s">
        <v>48</v>
      </c>
      <c r="P1886" s="752" t="s">
        <v>49</v>
      </c>
      <c r="Q1886" s="753">
        <v>46</v>
      </c>
      <c r="R1886" s="753">
        <v>46</v>
      </c>
      <c r="S1886" s="753">
        <v>254</v>
      </c>
      <c r="T1886" s="753">
        <v>254</v>
      </c>
      <c r="U1886" s="753">
        <v>32</v>
      </c>
      <c r="V1886" s="751">
        <v>2019</v>
      </c>
      <c r="W1886" s="222"/>
      <c r="X1886" s="186" t="str">
        <f t="shared" ref="X1886:X1894" si="91">IF(OR(K1886&gt;3,T1886=0,NOT(U1886&gt;0)),"",T1886/U1886)</f>
        <v/>
      </c>
      <c r="Y1886" s="178" t="str">
        <f t="shared" si="89"/>
        <v/>
      </c>
      <c r="Z1886" s="178" t="str">
        <f t="shared" si="90"/>
        <v/>
      </c>
      <c r="AA1886" s="44"/>
      <c r="AB1886" s="65"/>
      <c r="AC1886" s="40"/>
    </row>
    <row r="1887" spans="1:29" ht="25" hidden="1">
      <c r="A1887" s="751">
        <v>62423</v>
      </c>
      <c r="B1887" s="752" t="s">
        <v>35</v>
      </c>
      <c r="C1887" s="751" t="s">
        <v>2960</v>
      </c>
      <c r="D1887" s="752" t="s">
        <v>2621</v>
      </c>
      <c r="E1887" s="752" t="s">
        <v>2621</v>
      </c>
      <c r="F1887" s="751">
        <v>61948</v>
      </c>
      <c r="G1887" s="752" t="s">
        <v>59</v>
      </c>
      <c r="H1887" s="752" t="s">
        <v>1244</v>
      </c>
      <c r="I1887" s="752" t="s">
        <v>60</v>
      </c>
      <c r="J1887" s="751">
        <v>622</v>
      </c>
      <c r="K1887" s="751">
        <v>4</v>
      </c>
      <c r="L1887" s="752" t="s">
        <v>422</v>
      </c>
      <c r="M1887" s="752" t="s">
        <v>53</v>
      </c>
      <c r="N1887" s="752" t="s">
        <v>48</v>
      </c>
      <c r="O1887" s="752" t="s">
        <v>48</v>
      </c>
      <c r="P1887" s="752" t="s">
        <v>49</v>
      </c>
      <c r="Q1887" s="753">
        <v>511</v>
      </c>
      <c r="R1887" s="753">
        <v>511</v>
      </c>
      <c r="S1887" s="753">
        <v>2816</v>
      </c>
      <c r="T1887" s="753">
        <v>2816</v>
      </c>
      <c r="U1887" s="753">
        <v>450.07299999999998</v>
      </c>
      <c r="V1887" s="751">
        <v>2019</v>
      </c>
      <c r="W1887" s="222"/>
      <c r="X1887" s="186" t="str">
        <f t="shared" si="91"/>
        <v/>
      </c>
      <c r="Y1887" s="178" t="str">
        <f t="shared" si="89"/>
        <v/>
      </c>
      <c r="Z1887" s="178" t="str">
        <f t="shared" si="90"/>
        <v/>
      </c>
      <c r="AA1887" s="44"/>
      <c r="AB1887" s="65"/>
      <c r="AC1887" s="40"/>
    </row>
    <row r="1888" spans="1:29" ht="25" hidden="1">
      <c r="A1888" s="751">
        <v>62423</v>
      </c>
      <c r="B1888" s="752" t="s">
        <v>35</v>
      </c>
      <c r="C1888" s="751" t="s">
        <v>2960</v>
      </c>
      <c r="D1888" s="752" t="s">
        <v>2621</v>
      </c>
      <c r="E1888" s="752" t="s">
        <v>2621</v>
      </c>
      <c r="F1888" s="751">
        <v>61948</v>
      </c>
      <c r="G1888" s="752" t="s">
        <v>59</v>
      </c>
      <c r="H1888" s="752" t="s">
        <v>1244</v>
      </c>
      <c r="I1888" s="752" t="s">
        <v>60</v>
      </c>
      <c r="J1888" s="751">
        <v>622</v>
      </c>
      <c r="K1888" s="751">
        <v>4</v>
      </c>
      <c r="L1888" s="752" t="s">
        <v>422</v>
      </c>
      <c r="M1888" s="752" t="s">
        <v>53</v>
      </c>
      <c r="N1888" s="752" t="s">
        <v>41</v>
      </c>
      <c r="O1888" s="752" t="s">
        <v>41</v>
      </c>
      <c r="P1888" s="752" t="s">
        <v>1091</v>
      </c>
      <c r="Q1888" s="753">
        <v>236</v>
      </c>
      <c r="R1888" s="753">
        <v>236</v>
      </c>
      <c r="S1888" s="753">
        <v>246</v>
      </c>
      <c r="T1888" s="753">
        <v>246</v>
      </c>
      <c r="U1888" s="753">
        <v>38.927</v>
      </c>
      <c r="V1888" s="751">
        <v>2019</v>
      </c>
      <c r="W1888" s="222"/>
      <c r="X1888" s="186" t="str">
        <f t="shared" si="91"/>
        <v/>
      </c>
      <c r="Y1888" s="178" t="str">
        <f t="shared" si="89"/>
        <v/>
      </c>
      <c r="Z1888" s="178" t="str">
        <f t="shared" si="90"/>
        <v/>
      </c>
      <c r="AA1888" s="44"/>
      <c r="AB1888" s="65"/>
      <c r="AC1888" s="40"/>
    </row>
    <row r="1889" spans="1:29" ht="25" hidden="1">
      <c r="A1889" s="751">
        <v>62424</v>
      </c>
      <c r="B1889" s="752" t="s">
        <v>56</v>
      </c>
      <c r="C1889" s="751" t="s">
        <v>2960</v>
      </c>
      <c r="D1889" s="752" t="s">
        <v>2622</v>
      </c>
      <c r="E1889" s="752" t="s">
        <v>2623</v>
      </c>
      <c r="F1889" s="751">
        <v>60791</v>
      </c>
      <c r="G1889" s="752" t="s">
        <v>59</v>
      </c>
      <c r="H1889" s="752" t="s">
        <v>1244</v>
      </c>
      <c r="I1889" s="752" t="s">
        <v>60</v>
      </c>
      <c r="J1889" s="751">
        <v>623</v>
      </c>
      <c r="K1889" s="751">
        <v>5</v>
      </c>
      <c r="L1889" s="752" t="s">
        <v>423</v>
      </c>
      <c r="M1889" s="752" t="s">
        <v>53</v>
      </c>
      <c r="N1889" s="752" t="s">
        <v>41</v>
      </c>
      <c r="O1889" s="752" t="s">
        <v>41</v>
      </c>
      <c r="P1889" s="752" t="s">
        <v>1091</v>
      </c>
      <c r="Q1889" s="753">
        <v>146681</v>
      </c>
      <c r="R1889" s="753">
        <v>115604</v>
      </c>
      <c r="S1889" s="753">
        <v>161349</v>
      </c>
      <c r="T1889" s="753">
        <v>127166</v>
      </c>
      <c r="U1889" s="753">
        <v>9653</v>
      </c>
      <c r="V1889" s="751">
        <v>2019</v>
      </c>
      <c r="W1889" s="222"/>
      <c r="X1889" s="186" t="str">
        <f t="shared" si="91"/>
        <v/>
      </c>
      <c r="Y1889" s="178" t="str">
        <f t="shared" si="89"/>
        <v/>
      </c>
      <c r="Z1889" s="178" t="str">
        <f t="shared" si="90"/>
        <v/>
      </c>
      <c r="AA1889" s="44"/>
      <c r="AB1889" s="65"/>
      <c r="AC1889" s="40"/>
    </row>
    <row r="1890" spans="1:29" hidden="1">
      <c r="A1890" s="751">
        <v>62443</v>
      </c>
      <c r="B1890" s="752" t="s">
        <v>35</v>
      </c>
      <c r="C1890" s="751" t="s">
        <v>2960</v>
      </c>
      <c r="D1890" s="752" t="s">
        <v>3041</v>
      </c>
      <c r="E1890" s="752" t="s">
        <v>3042</v>
      </c>
      <c r="F1890" s="751">
        <v>61966</v>
      </c>
      <c r="G1890" s="752" t="s">
        <v>91</v>
      </c>
      <c r="H1890" s="752" t="s">
        <v>1245</v>
      </c>
      <c r="I1890" s="752" t="s">
        <v>60</v>
      </c>
      <c r="J1890" s="751">
        <v>22</v>
      </c>
      <c r="K1890" s="751">
        <v>2</v>
      </c>
      <c r="L1890" s="752" t="s">
        <v>54</v>
      </c>
      <c r="M1890" s="752" t="s">
        <v>468</v>
      </c>
      <c r="N1890" s="752" t="s">
        <v>469</v>
      </c>
      <c r="O1890" s="752" t="s">
        <v>469</v>
      </c>
      <c r="P1890" s="752" t="s">
        <v>1238</v>
      </c>
      <c r="Q1890" s="753">
        <v>0</v>
      </c>
      <c r="R1890" s="753">
        <v>0</v>
      </c>
      <c r="S1890" s="753">
        <v>25909</v>
      </c>
      <c r="T1890" s="753">
        <v>25909</v>
      </c>
      <c r="U1890" s="753">
        <v>2910</v>
      </c>
      <c r="V1890" s="751">
        <v>2019</v>
      </c>
      <c r="W1890" s="222"/>
      <c r="X1890" s="186">
        <f t="shared" si="91"/>
        <v>8.9034364261168388</v>
      </c>
      <c r="Y1890" s="178" t="str">
        <f t="shared" si="89"/>
        <v/>
      </c>
      <c r="Z1890" s="178" t="str">
        <f t="shared" si="90"/>
        <v/>
      </c>
      <c r="AA1890" s="44"/>
      <c r="AB1890" s="65"/>
      <c r="AC1890" s="40"/>
    </row>
    <row r="1891" spans="1:29" ht="25" hidden="1">
      <c r="A1891" s="751">
        <v>62446</v>
      </c>
      <c r="B1891" s="752" t="s">
        <v>35</v>
      </c>
      <c r="C1891" s="751" t="s">
        <v>2960</v>
      </c>
      <c r="D1891" s="752" t="s">
        <v>3043</v>
      </c>
      <c r="E1891" s="752" t="s">
        <v>3043</v>
      </c>
      <c r="F1891" s="751">
        <v>61955</v>
      </c>
      <c r="G1891" s="752" t="s">
        <v>59</v>
      </c>
      <c r="H1891" s="752" t="s">
        <v>1244</v>
      </c>
      <c r="I1891" s="752" t="s">
        <v>60</v>
      </c>
      <c r="J1891" s="751">
        <v>622</v>
      </c>
      <c r="K1891" s="751">
        <v>4</v>
      </c>
      <c r="L1891" s="752" t="s">
        <v>422</v>
      </c>
      <c r="M1891" s="752" t="s">
        <v>53</v>
      </c>
      <c r="N1891" s="752" t="s">
        <v>48</v>
      </c>
      <c r="O1891" s="752" t="s">
        <v>48</v>
      </c>
      <c r="P1891" s="752" t="s">
        <v>49</v>
      </c>
      <c r="Q1891" s="753">
        <v>31</v>
      </c>
      <c r="R1891" s="753">
        <v>31</v>
      </c>
      <c r="S1891" s="753">
        <v>172</v>
      </c>
      <c r="T1891" s="753">
        <v>172</v>
      </c>
      <c r="U1891" s="753">
        <v>17</v>
      </c>
      <c r="V1891" s="751">
        <v>2019</v>
      </c>
      <c r="W1891" s="222"/>
      <c r="X1891" s="186" t="str">
        <f t="shared" si="91"/>
        <v/>
      </c>
      <c r="Y1891" s="178" t="str">
        <f t="shared" si="89"/>
        <v/>
      </c>
      <c r="Z1891" s="178" t="str">
        <f t="shared" si="90"/>
        <v/>
      </c>
      <c r="AA1891" s="44"/>
      <c r="AB1891" s="65"/>
      <c r="AC1891" s="40"/>
    </row>
    <row r="1892" spans="1:29" ht="25" hidden="1">
      <c r="A1892" s="751">
        <v>62447</v>
      </c>
      <c r="B1892" s="752" t="s">
        <v>35</v>
      </c>
      <c r="C1892" s="751" t="s">
        <v>2960</v>
      </c>
      <c r="D1892" s="752" t="s">
        <v>3044</v>
      </c>
      <c r="E1892" s="752" t="s">
        <v>3045</v>
      </c>
      <c r="F1892" s="751">
        <v>61956</v>
      </c>
      <c r="G1892" s="752" t="s">
        <v>59</v>
      </c>
      <c r="H1892" s="752" t="s">
        <v>1244</v>
      </c>
      <c r="I1892" s="752" t="s">
        <v>60</v>
      </c>
      <c r="J1892" s="751">
        <v>622</v>
      </c>
      <c r="K1892" s="751">
        <v>4</v>
      </c>
      <c r="L1892" s="752" t="s">
        <v>422</v>
      </c>
      <c r="M1892" s="752" t="s">
        <v>53</v>
      </c>
      <c r="N1892" s="752" t="s">
        <v>48</v>
      </c>
      <c r="O1892" s="752" t="s">
        <v>48</v>
      </c>
      <c r="P1892" s="752" t="s">
        <v>49</v>
      </c>
      <c r="Q1892" s="753">
        <v>15</v>
      </c>
      <c r="R1892" s="753">
        <v>15</v>
      </c>
      <c r="S1892" s="753">
        <v>83</v>
      </c>
      <c r="T1892" s="753">
        <v>83</v>
      </c>
      <c r="U1892" s="753">
        <v>0</v>
      </c>
      <c r="V1892" s="751">
        <v>2019</v>
      </c>
      <c r="W1892" s="222"/>
      <c r="X1892" s="186" t="str">
        <f t="shared" si="91"/>
        <v/>
      </c>
      <c r="Y1892" s="178" t="str">
        <f t="shared" si="89"/>
        <v/>
      </c>
      <c r="Z1892" s="178" t="str">
        <f t="shared" si="90"/>
        <v/>
      </c>
      <c r="AA1892" s="44"/>
      <c r="AB1892" s="65"/>
      <c r="AC1892" s="40"/>
    </row>
    <row r="1893" spans="1:29" ht="25" hidden="1">
      <c r="A1893" s="751">
        <v>62450</v>
      </c>
      <c r="B1893" s="752" t="s">
        <v>35</v>
      </c>
      <c r="C1893" s="751" t="s">
        <v>2960</v>
      </c>
      <c r="D1893" s="752" t="s">
        <v>3046</v>
      </c>
      <c r="E1893" s="752" t="s">
        <v>3046</v>
      </c>
      <c r="F1893" s="751">
        <v>61965</v>
      </c>
      <c r="G1893" s="752" t="s">
        <v>59</v>
      </c>
      <c r="H1893" s="752" t="s">
        <v>1244</v>
      </c>
      <c r="I1893" s="752" t="s">
        <v>60</v>
      </c>
      <c r="J1893" s="751">
        <v>622</v>
      </c>
      <c r="K1893" s="751">
        <v>4</v>
      </c>
      <c r="L1893" s="752" t="s">
        <v>422</v>
      </c>
      <c r="M1893" s="752" t="s">
        <v>53</v>
      </c>
      <c r="N1893" s="752" t="s">
        <v>48</v>
      </c>
      <c r="O1893" s="752" t="s">
        <v>48</v>
      </c>
      <c r="P1893" s="752" t="s">
        <v>49</v>
      </c>
      <c r="Q1893" s="753">
        <v>27</v>
      </c>
      <c r="R1893" s="753">
        <v>27</v>
      </c>
      <c r="S1893" s="753">
        <v>149</v>
      </c>
      <c r="T1893" s="753">
        <v>149</v>
      </c>
      <c r="U1893" s="753">
        <v>15</v>
      </c>
      <c r="V1893" s="751">
        <v>2019</v>
      </c>
      <c r="W1893" s="222"/>
      <c r="X1893" s="186" t="str">
        <f t="shared" si="91"/>
        <v/>
      </c>
      <c r="Y1893" s="178" t="str">
        <f t="shared" si="89"/>
        <v/>
      </c>
      <c r="Z1893" s="178" t="str">
        <f t="shared" si="90"/>
        <v/>
      </c>
      <c r="AA1893" s="44"/>
      <c r="AB1893" s="65"/>
      <c r="AC1893" s="40"/>
    </row>
    <row r="1894" spans="1:29" ht="25" hidden="1">
      <c r="A1894" s="751">
        <v>62452</v>
      </c>
      <c r="B1894" s="752" t="s">
        <v>35</v>
      </c>
      <c r="C1894" s="751" t="s">
        <v>2960</v>
      </c>
      <c r="D1894" s="752" t="s">
        <v>3047</v>
      </c>
      <c r="E1894" s="752" t="s">
        <v>3048</v>
      </c>
      <c r="F1894" s="751">
        <v>61970</v>
      </c>
      <c r="G1894" s="752" t="s">
        <v>59</v>
      </c>
      <c r="H1894" s="752" t="s">
        <v>1244</v>
      </c>
      <c r="I1894" s="752" t="s">
        <v>60</v>
      </c>
      <c r="J1894" s="751">
        <v>622</v>
      </c>
      <c r="K1894" s="751">
        <v>4</v>
      </c>
      <c r="L1894" s="752" t="s">
        <v>422</v>
      </c>
      <c r="M1894" s="752" t="s">
        <v>53</v>
      </c>
      <c r="N1894" s="752" t="s">
        <v>48</v>
      </c>
      <c r="O1894" s="752" t="s">
        <v>48</v>
      </c>
      <c r="P1894" s="752" t="s">
        <v>49</v>
      </c>
      <c r="Q1894" s="753">
        <v>15</v>
      </c>
      <c r="R1894" s="753">
        <v>15</v>
      </c>
      <c r="S1894" s="753">
        <v>83</v>
      </c>
      <c r="T1894" s="753">
        <v>83</v>
      </c>
      <c r="U1894" s="753">
        <v>8</v>
      </c>
      <c r="V1894" s="751">
        <v>2019</v>
      </c>
      <c r="W1894" s="222"/>
      <c r="X1894" s="186" t="str">
        <f t="shared" si="91"/>
        <v/>
      </c>
      <c r="Y1894" s="178" t="str">
        <f t="shared" si="89"/>
        <v/>
      </c>
      <c r="Z1894" s="178" t="str">
        <f t="shared" si="90"/>
        <v/>
      </c>
      <c r="AA1894" s="44"/>
      <c r="AB1894" s="65"/>
      <c r="AC1894" s="40"/>
    </row>
    <row r="1895" spans="1:29" ht="25" hidden="1">
      <c r="A1895" s="751">
        <v>62453</v>
      </c>
      <c r="B1895" s="752" t="s">
        <v>35</v>
      </c>
      <c r="C1895" s="751" t="s">
        <v>2960</v>
      </c>
      <c r="D1895" s="752" t="s">
        <v>3049</v>
      </c>
      <c r="E1895" s="752" t="s">
        <v>3050</v>
      </c>
      <c r="F1895" s="751">
        <v>61971</v>
      </c>
      <c r="G1895" s="752" t="s">
        <v>59</v>
      </c>
      <c r="H1895" s="752" t="s">
        <v>1244</v>
      </c>
      <c r="I1895" s="752" t="s">
        <v>60</v>
      </c>
      <c r="J1895" s="751">
        <v>622</v>
      </c>
      <c r="K1895" s="751">
        <v>4</v>
      </c>
      <c r="L1895" s="752" t="s">
        <v>422</v>
      </c>
      <c r="M1895" s="752" t="s">
        <v>53</v>
      </c>
      <c r="N1895" s="752" t="s">
        <v>48</v>
      </c>
      <c r="O1895" s="752" t="s">
        <v>48</v>
      </c>
      <c r="P1895" s="752" t="s">
        <v>49</v>
      </c>
      <c r="Q1895" s="753">
        <v>110</v>
      </c>
      <c r="R1895" s="753">
        <v>110</v>
      </c>
      <c r="S1895" s="753">
        <v>607</v>
      </c>
      <c r="T1895" s="753">
        <v>607</v>
      </c>
      <c r="U1895" s="753">
        <v>62</v>
      </c>
      <c r="V1895" s="751">
        <v>2019</v>
      </c>
      <c r="W1895" s="222"/>
      <c r="X1895" s="186"/>
      <c r="Y1895" s="178" t="str">
        <f t="shared" si="89"/>
        <v/>
      </c>
      <c r="Z1895" s="178" t="str">
        <f t="shared" si="90"/>
        <v/>
      </c>
      <c r="AA1895" s="44"/>
      <c r="AB1895" s="65"/>
      <c r="AC1895" s="40"/>
    </row>
    <row r="1896" spans="1:29">
      <c r="A1896" s="751">
        <v>62455</v>
      </c>
      <c r="B1896" s="752" t="s">
        <v>35</v>
      </c>
      <c r="C1896" s="751" t="s">
        <v>2960</v>
      </c>
      <c r="D1896" s="752" t="s">
        <v>2624</v>
      </c>
      <c r="E1896" s="752" t="s">
        <v>1890</v>
      </c>
      <c r="F1896" s="751">
        <v>57128</v>
      </c>
      <c r="G1896" s="752" t="s">
        <v>43</v>
      </c>
      <c r="H1896" s="752" t="s">
        <v>1245</v>
      </c>
      <c r="I1896" s="752" t="s">
        <v>1216</v>
      </c>
      <c r="J1896" s="751">
        <v>22</v>
      </c>
      <c r="K1896" s="751">
        <v>2</v>
      </c>
      <c r="L1896" s="752" t="s">
        <v>54</v>
      </c>
      <c r="M1896" s="752" t="s">
        <v>1322</v>
      </c>
      <c r="N1896" s="752" t="s">
        <v>41</v>
      </c>
      <c r="O1896" s="752" t="s">
        <v>41</v>
      </c>
      <c r="P1896" s="752" t="s">
        <v>1091</v>
      </c>
      <c r="Q1896" s="753">
        <v>53561</v>
      </c>
      <c r="R1896" s="753">
        <v>53561</v>
      </c>
      <c r="S1896" s="753">
        <v>55062</v>
      </c>
      <c r="T1896" s="753">
        <v>55062</v>
      </c>
      <c r="U1896" s="753">
        <v>8206</v>
      </c>
      <c r="V1896" s="751">
        <v>2019</v>
      </c>
      <c r="W1896" s="222"/>
      <c r="X1896" s="186">
        <f>IF(OR(K1896&gt;3,T1896=0,NOT(U1896&gt;0)),"",T1896/U1896)</f>
        <v>6.7099683158664396</v>
      </c>
      <c r="Y1896" s="178" t="str">
        <f t="shared" si="89"/>
        <v/>
      </c>
      <c r="Z1896" s="178" t="str">
        <f t="shared" si="90"/>
        <v/>
      </c>
      <c r="AA1896" s="44"/>
      <c r="AB1896" s="65"/>
      <c r="AC1896" s="40"/>
    </row>
    <row r="1897" spans="1:29">
      <c r="A1897" s="751">
        <v>62456</v>
      </c>
      <c r="B1897" s="752" t="s">
        <v>35</v>
      </c>
      <c r="C1897" s="751" t="s">
        <v>2960</v>
      </c>
      <c r="D1897" s="752" t="s">
        <v>2625</v>
      </c>
      <c r="E1897" s="752" t="s">
        <v>1890</v>
      </c>
      <c r="F1897" s="751">
        <v>57128</v>
      </c>
      <c r="G1897" s="752" t="s">
        <v>59</v>
      </c>
      <c r="H1897" s="752" t="s">
        <v>1244</v>
      </c>
      <c r="I1897" s="752" t="s">
        <v>60</v>
      </c>
      <c r="J1897" s="751">
        <v>22</v>
      </c>
      <c r="K1897" s="751">
        <v>2</v>
      </c>
      <c r="L1897" s="752" t="s">
        <v>54</v>
      </c>
      <c r="M1897" s="752" t="s">
        <v>1322</v>
      </c>
      <c r="N1897" s="752" t="s">
        <v>41</v>
      </c>
      <c r="O1897" s="752" t="s">
        <v>41</v>
      </c>
      <c r="P1897" s="752" t="s">
        <v>1091</v>
      </c>
      <c r="Q1897" s="753">
        <v>78768</v>
      </c>
      <c r="R1897" s="753">
        <v>78768</v>
      </c>
      <c r="S1897" s="753">
        <v>80975</v>
      </c>
      <c r="T1897" s="753">
        <v>80975</v>
      </c>
      <c r="U1897" s="753">
        <v>12150</v>
      </c>
      <c r="V1897" s="751">
        <v>2019</v>
      </c>
      <c r="W1897" s="222"/>
      <c r="X1897" s="186">
        <f>IF(OR(K1897&gt;3,T1897=0,NOT(U1897&gt;0)),"",T1897/U1897)</f>
        <v>6.6646090534979425</v>
      </c>
      <c r="Y1897" s="178" t="str">
        <f t="shared" si="89"/>
        <v/>
      </c>
      <c r="Z1897" s="178" t="str">
        <f t="shared" si="90"/>
        <v/>
      </c>
      <c r="AA1897" s="44"/>
      <c r="AB1897" s="65"/>
      <c r="AC1897" s="40"/>
    </row>
    <row r="1898" spans="1:29" ht="25" hidden="1">
      <c r="A1898" s="751">
        <v>62474</v>
      </c>
      <c r="B1898" s="752" t="s">
        <v>35</v>
      </c>
      <c r="C1898" s="751" t="s">
        <v>2960</v>
      </c>
      <c r="D1898" s="752" t="s">
        <v>3051</v>
      </c>
      <c r="E1898" s="752" t="s">
        <v>2566</v>
      </c>
      <c r="F1898" s="751">
        <v>61610</v>
      </c>
      <c r="G1898" s="752" t="s">
        <v>59</v>
      </c>
      <c r="H1898" s="752" t="s">
        <v>1244</v>
      </c>
      <c r="I1898" s="752" t="s">
        <v>60</v>
      </c>
      <c r="J1898" s="751">
        <v>22</v>
      </c>
      <c r="K1898" s="751">
        <v>2</v>
      </c>
      <c r="L1898" s="752" t="s">
        <v>54</v>
      </c>
      <c r="M1898" s="752" t="s">
        <v>468</v>
      </c>
      <c r="N1898" s="752" t="s">
        <v>469</v>
      </c>
      <c r="O1898" s="752" t="s">
        <v>469</v>
      </c>
      <c r="P1898" s="752" t="s">
        <v>1238</v>
      </c>
      <c r="Q1898" s="753">
        <v>0</v>
      </c>
      <c r="R1898" s="753">
        <v>0</v>
      </c>
      <c r="S1898" s="753">
        <v>0</v>
      </c>
      <c r="T1898" s="753">
        <v>0</v>
      </c>
      <c r="U1898" s="753">
        <v>0</v>
      </c>
      <c r="V1898" s="751">
        <v>2019</v>
      </c>
      <c r="W1898" s="222"/>
      <c r="X1898" s="186" t="str">
        <f>IF(OR(K1898&gt;3,T1898=0,NOT(U1898&gt;0)),"",T1898/U1898)</f>
        <v/>
      </c>
      <c r="Y1898" s="178" t="str">
        <f t="shared" si="89"/>
        <v/>
      </c>
      <c r="Z1898" s="178" t="str">
        <f t="shared" si="90"/>
        <v/>
      </c>
      <c r="AA1898" s="44"/>
      <c r="AB1898" s="65"/>
      <c r="AC1898" s="40"/>
    </row>
    <row r="1899" spans="1:29" ht="25" hidden="1">
      <c r="A1899" s="751">
        <v>62477</v>
      </c>
      <c r="B1899" s="752" t="s">
        <v>35</v>
      </c>
      <c r="C1899" s="751" t="s">
        <v>2960</v>
      </c>
      <c r="D1899" s="752" t="s">
        <v>3052</v>
      </c>
      <c r="E1899" s="752" t="s">
        <v>2566</v>
      </c>
      <c r="F1899" s="751">
        <v>61610</v>
      </c>
      <c r="G1899" s="752" t="s">
        <v>59</v>
      </c>
      <c r="H1899" s="752" t="s">
        <v>1244</v>
      </c>
      <c r="I1899" s="752" t="s">
        <v>60</v>
      </c>
      <c r="J1899" s="751">
        <v>22</v>
      </c>
      <c r="K1899" s="751">
        <v>2</v>
      </c>
      <c r="L1899" s="752" t="s">
        <v>54</v>
      </c>
      <c r="M1899" s="752" t="s">
        <v>468</v>
      </c>
      <c r="N1899" s="752" t="s">
        <v>469</v>
      </c>
      <c r="O1899" s="752" t="s">
        <v>469</v>
      </c>
      <c r="P1899" s="752" t="s">
        <v>1238</v>
      </c>
      <c r="Q1899" s="753">
        <v>0</v>
      </c>
      <c r="R1899" s="753">
        <v>0</v>
      </c>
      <c r="S1899" s="753">
        <v>0</v>
      </c>
      <c r="T1899" s="753">
        <v>0</v>
      </c>
      <c r="U1899" s="753">
        <v>0</v>
      </c>
      <c r="V1899" s="751">
        <v>2019</v>
      </c>
      <c r="W1899" s="222"/>
      <c r="X1899" s="186" t="str">
        <f>IF(OR(K1899&gt;3,T1899=0,NOT(U1899&gt;0)),"",T1899/U1899)</f>
        <v/>
      </c>
      <c r="Y1899" s="178" t="str">
        <f t="shared" si="89"/>
        <v/>
      </c>
      <c r="Z1899" s="178" t="str">
        <f t="shared" si="90"/>
        <v/>
      </c>
      <c r="AA1899" s="44"/>
      <c r="AB1899" s="65"/>
      <c r="AC1899" s="40"/>
    </row>
    <row r="1900" spans="1:29" ht="25" hidden="1">
      <c r="A1900" s="751">
        <v>62479</v>
      </c>
      <c r="B1900" s="752" t="s">
        <v>35</v>
      </c>
      <c r="C1900" s="751" t="s">
        <v>2960</v>
      </c>
      <c r="D1900" s="752" t="s">
        <v>3053</v>
      </c>
      <c r="E1900" s="752" t="s">
        <v>2566</v>
      </c>
      <c r="F1900" s="751">
        <v>61610</v>
      </c>
      <c r="G1900" s="752" t="s">
        <v>59</v>
      </c>
      <c r="H1900" s="752" t="s">
        <v>1244</v>
      </c>
      <c r="I1900" s="752" t="s">
        <v>60</v>
      </c>
      <c r="J1900" s="751">
        <v>22</v>
      </c>
      <c r="K1900" s="751">
        <v>2</v>
      </c>
      <c r="L1900" s="752" t="s">
        <v>54</v>
      </c>
      <c r="M1900" s="752" t="s">
        <v>468</v>
      </c>
      <c r="N1900" s="752" t="s">
        <v>469</v>
      </c>
      <c r="O1900" s="752" t="s">
        <v>469</v>
      </c>
      <c r="P1900" s="752" t="s">
        <v>1238</v>
      </c>
      <c r="Q1900" s="753">
        <v>0</v>
      </c>
      <c r="R1900" s="753">
        <v>0</v>
      </c>
      <c r="S1900" s="753">
        <v>552</v>
      </c>
      <c r="T1900" s="753">
        <v>552</v>
      </c>
      <c r="U1900" s="753">
        <v>62</v>
      </c>
      <c r="V1900" s="751">
        <v>2019</v>
      </c>
      <c r="W1900" s="222"/>
      <c r="X1900" s="186"/>
      <c r="Y1900" s="178" t="str">
        <f t="shared" si="89"/>
        <v/>
      </c>
      <c r="Z1900" s="178" t="str">
        <f t="shared" si="90"/>
        <v/>
      </c>
      <c r="AA1900" s="44"/>
      <c r="AB1900" s="65"/>
      <c r="AC1900" s="40"/>
    </row>
    <row r="1901" spans="1:29" hidden="1">
      <c r="A1901" s="751">
        <v>62486</v>
      </c>
      <c r="B1901" s="752" t="s">
        <v>35</v>
      </c>
      <c r="C1901" s="751" t="s">
        <v>2960</v>
      </c>
      <c r="D1901" s="752" t="s">
        <v>3054</v>
      </c>
      <c r="E1901" s="752" t="s">
        <v>3055</v>
      </c>
      <c r="F1901" s="751">
        <v>62003</v>
      </c>
      <c r="G1901" s="752" t="s">
        <v>59</v>
      </c>
      <c r="H1901" s="752" t="s">
        <v>1244</v>
      </c>
      <c r="I1901" s="752" t="s">
        <v>60</v>
      </c>
      <c r="J1901" s="751">
        <v>22</v>
      </c>
      <c r="K1901" s="751">
        <v>2</v>
      </c>
      <c r="L1901" s="752" t="s">
        <v>54</v>
      </c>
      <c r="M1901" s="752" t="s">
        <v>468</v>
      </c>
      <c r="N1901" s="752" t="s">
        <v>469</v>
      </c>
      <c r="O1901" s="752" t="s">
        <v>469</v>
      </c>
      <c r="P1901" s="752" t="s">
        <v>1238</v>
      </c>
      <c r="Q1901" s="753">
        <v>0</v>
      </c>
      <c r="R1901" s="753">
        <v>0</v>
      </c>
      <c r="S1901" s="753">
        <v>20122</v>
      </c>
      <c r="T1901" s="753">
        <v>20122</v>
      </c>
      <c r="U1901" s="753">
        <v>2260</v>
      </c>
      <c r="V1901" s="751">
        <v>2019</v>
      </c>
      <c r="W1901" s="222"/>
      <c r="X1901" s="186"/>
      <c r="Y1901" s="178" t="str">
        <f t="shared" si="89"/>
        <v/>
      </c>
      <c r="Z1901" s="178" t="str">
        <f t="shared" si="90"/>
        <v/>
      </c>
      <c r="AA1901" s="44"/>
      <c r="AB1901" s="65"/>
      <c r="AC1901" s="40"/>
    </row>
    <row r="1902" spans="1:29" hidden="1">
      <c r="A1902" s="751">
        <v>62503</v>
      </c>
      <c r="B1902" s="752" t="s">
        <v>35</v>
      </c>
      <c r="C1902" s="751" t="s">
        <v>2960</v>
      </c>
      <c r="D1902" s="752" t="s">
        <v>2626</v>
      </c>
      <c r="E1902" s="752" t="s">
        <v>2157</v>
      </c>
      <c r="F1902" s="751">
        <v>60584</v>
      </c>
      <c r="G1902" s="752" t="s">
        <v>83</v>
      </c>
      <c r="H1902" s="752" t="s">
        <v>1245</v>
      </c>
      <c r="I1902" s="752" t="s">
        <v>60</v>
      </c>
      <c r="J1902" s="751">
        <v>22</v>
      </c>
      <c r="K1902" s="751">
        <v>2</v>
      </c>
      <c r="L1902" s="752" t="s">
        <v>54</v>
      </c>
      <c r="M1902" s="752" t="s">
        <v>468</v>
      </c>
      <c r="N1902" s="752" t="s">
        <v>469</v>
      </c>
      <c r="O1902" s="752" t="s">
        <v>469</v>
      </c>
      <c r="P1902" s="752" t="s">
        <v>1238</v>
      </c>
      <c r="Q1902" s="753">
        <v>0</v>
      </c>
      <c r="R1902" s="753">
        <v>0</v>
      </c>
      <c r="S1902" s="753">
        <v>27042</v>
      </c>
      <c r="T1902" s="753">
        <v>27042</v>
      </c>
      <c r="U1902" s="753">
        <v>3037</v>
      </c>
      <c r="V1902" s="751">
        <v>2019</v>
      </c>
      <c r="W1902" s="222"/>
      <c r="X1902" s="186"/>
      <c r="Y1902" s="178" t="str">
        <f t="shared" si="89"/>
        <v/>
      </c>
      <c r="Z1902" s="178" t="str">
        <f t="shared" si="90"/>
        <v/>
      </c>
      <c r="AA1902" s="44"/>
      <c r="AB1902" s="65"/>
      <c r="AC1902" s="40"/>
    </row>
    <row r="1903" spans="1:29" hidden="1">
      <c r="A1903" s="751">
        <v>62527</v>
      </c>
      <c r="B1903" s="752" t="s">
        <v>35</v>
      </c>
      <c r="C1903" s="751" t="s">
        <v>2960</v>
      </c>
      <c r="D1903" s="752" t="s">
        <v>3056</v>
      </c>
      <c r="E1903" s="752" t="s">
        <v>2566</v>
      </c>
      <c r="F1903" s="751">
        <v>61610</v>
      </c>
      <c r="G1903" s="752" t="s">
        <v>59</v>
      </c>
      <c r="H1903" s="752" t="s">
        <v>1244</v>
      </c>
      <c r="I1903" s="752" t="s">
        <v>60</v>
      </c>
      <c r="J1903" s="751">
        <v>22</v>
      </c>
      <c r="K1903" s="751">
        <v>2</v>
      </c>
      <c r="L1903" s="752" t="s">
        <v>54</v>
      </c>
      <c r="M1903" s="752" t="s">
        <v>468</v>
      </c>
      <c r="N1903" s="752" t="s">
        <v>469</v>
      </c>
      <c r="O1903" s="752" t="s">
        <v>469</v>
      </c>
      <c r="P1903" s="752" t="s">
        <v>1238</v>
      </c>
      <c r="Q1903" s="753">
        <v>0</v>
      </c>
      <c r="R1903" s="753">
        <v>0</v>
      </c>
      <c r="S1903" s="753">
        <v>0</v>
      </c>
      <c r="T1903" s="753">
        <v>0</v>
      </c>
      <c r="U1903" s="753">
        <v>0</v>
      </c>
      <c r="V1903" s="751">
        <v>2019</v>
      </c>
      <c r="W1903" s="222"/>
      <c r="X1903" s="186" t="str">
        <f t="shared" ref="X1903:X1908" si="92">IF(OR(K1903&gt;3,T1903=0,NOT(U1903&gt;0)),"",T1903/U1903)</f>
        <v/>
      </c>
      <c r="Y1903" s="178" t="str">
        <f t="shared" si="89"/>
        <v/>
      </c>
      <c r="Z1903" s="178" t="str">
        <f t="shared" si="90"/>
        <v/>
      </c>
      <c r="AA1903" s="44"/>
      <c r="AB1903" s="65"/>
      <c r="AC1903" s="40"/>
    </row>
    <row r="1904" spans="1:29" hidden="1">
      <c r="A1904" s="751">
        <v>62528</v>
      </c>
      <c r="B1904" s="752" t="s">
        <v>35</v>
      </c>
      <c r="C1904" s="751" t="s">
        <v>2960</v>
      </c>
      <c r="D1904" s="752" t="s">
        <v>3057</v>
      </c>
      <c r="E1904" s="752" t="s">
        <v>2566</v>
      </c>
      <c r="F1904" s="751">
        <v>61610</v>
      </c>
      <c r="G1904" s="752" t="s">
        <v>59</v>
      </c>
      <c r="H1904" s="752" t="s">
        <v>1244</v>
      </c>
      <c r="I1904" s="752" t="s">
        <v>60</v>
      </c>
      <c r="J1904" s="751">
        <v>22</v>
      </c>
      <c r="K1904" s="751">
        <v>2</v>
      </c>
      <c r="L1904" s="752" t="s">
        <v>54</v>
      </c>
      <c r="M1904" s="752" t="s">
        <v>468</v>
      </c>
      <c r="N1904" s="752" t="s">
        <v>469</v>
      </c>
      <c r="O1904" s="752" t="s">
        <v>469</v>
      </c>
      <c r="P1904" s="752" t="s">
        <v>1238</v>
      </c>
      <c r="Q1904" s="753">
        <v>0</v>
      </c>
      <c r="R1904" s="753">
        <v>0</v>
      </c>
      <c r="S1904" s="753">
        <v>178</v>
      </c>
      <c r="T1904" s="753">
        <v>178</v>
      </c>
      <c r="U1904" s="753">
        <v>20</v>
      </c>
      <c r="V1904" s="751">
        <v>2019</v>
      </c>
      <c r="W1904" s="222"/>
      <c r="X1904" s="186">
        <f t="shared" si="92"/>
        <v>8.9</v>
      </c>
      <c r="Y1904" s="178" t="str">
        <f t="shared" si="89"/>
        <v/>
      </c>
      <c r="Z1904" s="178" t="str">
        <f t="shared" si="90"/>
        <v/>
      </c>
      <c r="AA1904" s="44"/>
      <c r="AB1904" s="65"/>
      <c r="AC1904" s="40"/>
    </row>
    <row r="1905" spans="1:29" ht="25" hidden="1">
      <c r="A1905" s="751">
        <v>62530</v>
      </c>
      <c r="B1905" s="752" t="s">
        <v>35</v>
      </c>
      <c r="C1905" s="751" t="s">
        <v>2960</v>
      </c>
      <c r="D1905" s="752" t="s">
        <v>3058</v>
      </c>
      <c r="E1905" s="752" t="s">
        <v>3059</v>
      </c>
      <c r="F1905" s="751">
        <v>62630</v>
      </c>
      <c r="G1905" s="752" t="s">
        <v>59</v>
      </c>
      <c r="H1905" s="752" t="s">
        <v>1244</v>
      </c>
      <c r="I1905" s="752" t="s">
        <v>60</v>
      </c>
      <c r="J1905" s="751">
        <v>22</v>
      </c>
      <c r="K1905" s="751">
        <v>2</v>
      </c>
      <c r="L1905" s="752" t="s">
        <v>54</v>
      </c>
      <c r="M1905" s="752" t="s">
        <v>468</v>
      </c>
      <c r="N1905" s="752" t="s">
        <v>469</v>
      </c>
      <c r="O1905" s="752" t="s">
        <v>469</v>
      </c>
      <c r="P1905" s="752" t="s">
        <v>1238</v>
      </c>
      <c r="Q1905" s="753">
        <v>0</v>
      </c>
      <c r="R1905" s="753">
        <v>0</v>
      </c>
      <c r="S1905" s="753">
        <v>10267</v>
      </c>
      <c r="T1905" s="753">
        <v>10267</v>
      </c>
      <c r="U1905" s="753">
        <v>1153</v>
      </c>
      <c r="V1905" s="751">
        <v>2019</v>
      </c>
      <c r="W1905" s="222"/>
      <c r="X1905" s="186">
        <f t="shared" si="92"/>
        <v>8.9045967042497836</v>
      </c>
      <c r="Y1905" s="178" t="str">
        <f t="shared" si="89"/>
        <v/>
      </c>
      <c r="Z1905" s="178" t="str">
        <f t="shared" si="90"/>
        <v/>
      </c>
      <c r="AA1905" s="44"/>
      <c r="AB1905" s="65"/>
      <c r="AC1905" s="40"/>
    </row>
    <row r="1906" spans="1:29" ht="25" hidden="1">
      <c r="A1906" s="751">
        <v>62531</v>
      </c>
      <c r="B1906" s="752" t="s">
        <v>35</v>
      </c>
      <c r="C1906" s="751" t="s">
        <v>2960</v>
      </c>
      <c r="D1906" s="752" t="s">
        <v>3060</v>
      </c>
      <c r="E1906" s="752" t="s">
        <v>3061</v>
      </c>
      <c r="F1906" s="751">
        <v>62631</v>
      </c>
      <c r="G1906" s="752" t="s">
        <v>59</v>
      </c>
      <c r="H1906" s="752" t="s">
        <v>1244</v>
      </c>
      <c r="I1906" s="752" t="s">
        <v>60</v>
      </c>
      <c r="J1906" s="751">
        <v>22</v>
      </c>
      <c r="K1906" s="751">
        <v>2</v>
      </c>
      <c r="L1906" s="752" t="s">
        <v>54</v>
      </c>
      <c r="M1906" s="752" t="s">
        <v>468</v>
      </c>
      <c r="N1906" s="752" t="s">
        <v>469</v>
      </c>
      <c r="O1906" s="752" t="s">
        <v>469</v>
      </c>
      <c r="P1906" s="752" t="s">
        <v>1238</v>
      </c>
      <c r="Q1906" s="753">
        <v>0</v>
      </c>
      <c r="R1906" s="753">
        <v>0</v>
      </c>
      <c r="S1906" s="753">
        <v>10490</v>
      </c>
      <c r="T1906" s="753">
        <v>10490</v>
      </c>
      <c r="U1906" s="753">
        <v>1178</v>
      </c>
      <c r="V1906" s="751">
        <v>2019</v>
      </c>
      <c r="W1906" s="222"/>
      <c r="X1906" s="186">
        <f t="shared" si="92"/>
        <v>8.9049235993208828</v>
      </c>
      <c r="Y1906" s="178" t="str">
        <f t="shared" si="89"/>
        <v/>
      </c>
      <c r="Z1906" s="178" t="str">
        <f t="shared" si="90"/>
        <v/>
      </c>
      <c r="AA1906" s="44"/>
      <c r="AB1906" s="65"/>
      <c r="AC1906" s="40"/>
    </row>
    <row r="1907" spans="1:29" ht="25" hidden="1">
      <c r="A1907" s="751">
        <v>62532</v>
      </c>
      <c r="B1907" s="752" t="s">
        <v>35</v>
      </c>
      <c r="C1907" s="751" t="s">
        <v>2960</v>
      </c>
      <c r="D1907" s="752" t="s">
        <v>3062</v>
      </c>
      <c r="E1907" s="752" t="s">
        <v>3063</v>
      </c>
      <c r="F1907" s="751">
        <v>62632</v>
      </c>
      <c r="G1907" s="752" t="s">
        <v>59</v>
      </c>
      <c r="H1907" s="752" t="s">
        <v>1244</v>
      </c>
      <c r="I1907" s="752" t="s">
        <v>60</v>
      </c>
      <c r="J1907" s="751">
        <v>22</v>
      </c>
      <c r="K1907" s="751">
        <v>2</v>
      </c>
      <c r="L1907" s="752" t="s">
        <v>54</v>
      </c>
      <c r="M1907" s="752" t="s">
        <v>468</v>
      </c>
      <c r="N1907" s="752" t="s">
        <v>469</v>
      </c>
      <c r="O1907" s="752" t="s">
        <v>469</v>
      </c>
      <c r="P1907" s="752" t="s">
        <v>1238</v>
      </c>
      <c r="Q1907" s="753">
        <v>0</v>
      </c>
      <c r="R1907" s="753">
        <v>0</v>
      </c>
      <c r="S1907" s="753">
        <v>10541</v>
      </c>
      <c r="T1907" s="753">
        <v>10541</v>
      </c>
      <c r="U1907" s="753">
        <v>1184</v>
      </c>
      <c r="V1907" s="751">
        <v>2019</v>
      </c>
      <c r="W1907" s="222"/>
      <c r="X1907" s="186">
        <f t="shared" si="92"/>
        <v>8.902871621621621</v>
      </c>
      <c r="Y1907" s="178" t="str">
        <f t="shared" si="89"/>
        <v/>
      </c>
      <c r="Z1907" s="178" t="str">
        <f t="shared" si="90"/>
        <v/>
      </c>
      <c r="AA1907" s="44"/>
      <c r="AB1907" s="65"/>
      <c r="AC1907" s="40"/>
    </row>
    <row r="1908" spans="1:29" hidden="1">
      <c r="A1908" s="751">
        <v>62549</v>
      </c>
      <c r="B1908" s="752" t="s">
        <v>35</v>
      </c>
      <c r="C1908" s="751" t="s">
        <v>2960</v>
      </c>
      <c r="D1908" s="752" t="s">
        <v>3064</v>
      </c>
      <c r="E1908" s="752" t="s">
        <v>2627</v>
      </c>
      <c r="F1908" s="751">
        <v>62052</v>
      </c>
      <c r="G1908" s="752" t="s">
        <v>59</v>
      </c>
      <c r="H1908" s="752" t="s">
        <v>1244</v>
      </c>
      <c r="I1908" s="752" t="s">
        <v>60</v>
      </c>
      <c r="J1908" s="751">
        <v>22</v>
      </c>
      <c r="K1908" s="751">
        <v>2</v>
      </c>
      <c r="L1908" s="752" t="s">
        <v>54</v>
      </c>
      <c r="M1908" s="752" t="s">
        <v>468</v>
      </c>
      <c r="N1908" s="752" t="s">
        <v>469</v>
      </c>
      <c r="O1908" s="752" t="s">
        <v>469</v>
      </c>
      <c r="P1908" s="752" t="s">
        <v>1238</v>
      </c>
      <c r="Q1908" s="753">
        <v>0</v>
      </c>
      <c r="R1908" s="753">
        <v>0</v>
      </c>
      <c r="S1908" s="753">
        <v>20569</v>
      </c>
      <c r="T1908" s="753">
        <v>20569</v>
      </c>
      <c r="U1908" s="753">
        <v>2310</v>
      </c>
      <c r="V1908" s="751">
        <v>2019</v>
      </c>
      <c r="W1908" s="222"/>
      <c r="X1908" s="186">
        <f t="shared" si="92"/>
        <v>8.9043290043290035</v>
      </c>
      <c r="Y1908" s="178" t="str">
        <f t="shared" si="89"/>
        <v/>
      </c>
      <c r="Z1908" s="178" t="str">
        <f t="shared" si="90"/>
        <v/>
      </c>
      <c r="AA1908" s="44"/>
      <c r="AB1908" s="65"/>
      <c r="AC1908" s="40"/>
    </row>
    <row r="1909" spans="1:29" hidden="1">
      <c r="A1909" s="751">
        <v>62550</v>
      </c>
      <c r="B1909" s="752" t="s">
        <v>35</v>
      </c>
      <c r="C1909" s="751" t="s">
        <v>2960</v>
      </c>
      <c r="D1909" s="752" t="s">
        <v>2628</v>
      </c>
      <c r="E1909" s="752" t="s">
        <v>2629</v>
      </c>
      <c r="F1909" s="751">
        <v>62053</v>
      </c>
      <c r="G1909" s="752" t="s">
        <v>83</v>
      </c>
      <c r="H1909" s="752" t="s">
        <v>1245</v>
      </c>
      <c r="I1909" s="752" t="s">
        <v>60</v>
      </c>
      <c r="J1909" s="751">
        <v>22</v>
      </c>
      <c r="K1909" s="751">
        <v>2</v>
      </c>
      <c r="L1909" s="752" t="s">
        <v>54</v>
      </c>
      <c r="M1909" s="752" t="s">
        <v>468</v>
      </c>
      <c r="N1909" s="752" t="s">
        <v>469</v>
      </c>
      <c r="O1909" s="752" t="s">
        <v>469</v>
      </c>
      <c r="P1909" s="752" t="s">
        <v>1238</v>
      </c>
      <c r="Q1909" s="753">
        <v>0</v>
      </c>
      <c r="R1909" s="753">
        <v>0</v>
      </c>
      <c r="S1909" s="753">
        <v>28182</v>
      </c>
      <c r="T1909" s="753">
        <v>28182</v>
      </c>
      <c r="U1909" s="753">
        <v>3165</v>
      </c>
      <c r="V1909" s="751">
        <v>2019</v>
      </c>
      <c r="W1909" s="222"/>
      <c r="X1909" s="186"/>
      <c r="Y1909" s="178"/>
      <c r="Z1909" s="178"/>
      <c r="AA1909" s="44"/>
      <c r="AB1909" s="65"/>
      <c r="AC1909" s="40"/>
    </row>
    <row r="1910" spans="1:29" hidden="1">
      <c r="A1910" s="751">
        <v>62551</v>
      </c>
      <c r="B1910" s="752" t="s">
        <v>35</v>
      </c>
      <c r="C1910" s="751" t="s">
        <v>2960</v>
      </c>
      <c r="D1910" s="752" t="s">
        <v>2630</v>
      </c>
      <c r="E1910" s="752" t="s">
        <v>2630</v>
      </c>
      <c r="F1910" s="751">
        <v>62054</v>
      </c>
      <c r="G1910" s="752" t="s">
        <v>136</v>
      </c>
      <c r="H1910" s="752" t="s">
        <v>1245</v>
      </c>
      <c r="I1910" s="752" t="s">
        <v>60</v>
      </c>
      <c r="J1910" s="751">
        <v>22</v>
      </c>
      <c r="K1910" s="751">
        <v>2</v>
      </c>
      <c r="L1910" s="752" t="s">
        <v>54</v>
      </c>
      <c r="M1910" s="752" t="s">
        <v>468</v>
      </c>
      <c r="N1910" s="752" t="s">
        <v>469</v>
      </c>
      <c r="O1910" s="752" t="s">
        <v>469</v>
      </c>
      <c r="P1910" s="752" t="s">
        <v>1238</v>
      </c>
      <c r="Q1910" s="753">
        <v>0</v>
      </c>
      <c r="R1910" s="753">
        <v>0</v>
      </c>
      <c r="S1910" s="753">
        <v>58759</v>
      </c>
      <c r="T1910" s="753">
        <v>58759</v>
      </c>
      <c r="U1910" s="753">
        <v>6599</v>
      </c>
      <c r="V1910" s="751">
        <v>2019</v>
      </c>
      <c r="W1910" s="222"/>
      <c r="X1910" s="186"/>
      <c r="Y1910" s="178"/>
      <c r="Z1910" s="178"/>
      <c r="AA1910" s="44"/>
      <c r="AB1910" s="65"/>
      <c r="AC1910" s="40"/>
    </row>
    <row r="1911" spans="1:29" hidden="1">
      <c r="A1911" s="751">
        <v>62552</v>
      </c>
      <c r="B1911" s="752" t="s">
        <v>35</v>
      </c>
      <c r="C1911" s="751" t="s">
        <v>2960</v>
      </c>
      <c r="D1911" s="752" t="s">
        <v>2631</v>
      </c>
      <c r="E1911" s="752" t="s">
        <v>2632</v>
      </c>
      <c r="F1911" s="751">
        <v>62055</v>
      </c>
      <c r="G1911" s="752" t="s">
        <v>83</v>
      </c>
      <c r="H1911" s="752" t="s">
        <v>1245</v>
      </c>
      <c r="I1911" s="752" t="s">
        <v>60</v>
      </c>
      <c r="J1911" s="751">
        <v>22</v>
      </c>
      <c r="K1911" s="751">
        <v>2</v>
      </c>
      <c r="L1911" s="752" t="s">
        <v>54</v>
      </c>
      <c r="M1911" s="752" t="s">
        <v>468</v>
      </c>
      <c r="N1911" s="752" t="s">
        <v>469</v>
      </c>
      <c r="O1911" s="752" t="s">
        <v>469</v>
      </c>
      <c r="P1911" s="752" t="s">
        <v>1238</v>
      </c>
      <c r="Q1911" s="753">
        <v>0</v>
      </c>
      <c r="R1911" s="753">
        <v>0</v>
      </c>
      <c r="S1911" s="753">
        <v>29267</v>
      </c>
      <c r="T1911" s="753">
        <v>29267</v>
      </c>
      <c r="U1911" s="753">
        <v>3287</v>
      </c>
      <c r="V1911" s="751">
        <v>2019</v>
      </c>
      <c r="W1911" s="222"/>
      <c r="X1911" s="186"/>
      <c r="Y1911" s="178"/>
      <c r="Z1911" s="178"/>
      <c r="AA1911" s="44"/>
      <c r="AB1911" s="65"/>
      <c r="AC1911" s="40"/>
    </row>
    <row r="1912" spans="1:29" hidden="1">
      <c r="A1912" s="751">
        <v>62556</v>
      </c>
      <c r="B1912" s="752" t="s">
        <v>35</v>
      </c>
      <c r="C1912" s="751" t="s">
        <v>2960</v>
      </c>
      <c r="D1912" s="752" t="s">
        <v>3065</v>
      </c>
      <c r="E1912" s="752" t="s">
        <v>2633</v>
      </c>
      <c r="F1912" s="751">
        <v>62056</v>
      </c>
      <c r="G1912" s="752" t="s">
        <v>59</v>
      </c>
      <c r="H1912" s="752" t="s">
        <v>1244</v>
      </c>
      <c r="I1912" s="752" t="s">
        <v>60</v>
      </c>
      <c r="J1912" s="751">
        <v>22</v>
      </c>
      <c r="K1912" s="751">
        <v>2</v>
      </c>
      <c r="L1912" s="752" t="s">
        <v>54</v>
      </c>
      <c r="M1912" s="752" t="s">
        <v>468</v>
      </c>
      <c r="N1912" s="752" t="s">
        <v>469</v>
      </c>
      <c r="O1912" s="752" t="s">
        <v>469</v>
      </c>
      <c r="P1912" s="752" t="s">
        <v>1238</v>
      </c>
      <c r="Q1912" s="753">
        <v>0</v>
      </c>
      <c r="R1912" s="753">
        <v>0</v>
      </c>
      <c r="S1912" s="753">
        <v>28990</v>
      </c>
      <c r="T1912" s="753">
        <v>28990</v>
      </c>
      <c r="U1912" s="753">
        <v>3256</v>
      </c>
      <c r="V1912" s="751">
        <v>2019</v>
      </c>
      <c r="W1912" s="222"/>
      <c r="X1912" s="186"/>
      <c r="Y1912" s="178"/>
      <c r="Z1912" s="178"/>
      <c r="AA1912" s="44"/>
      <c r="AB1912" s="65"/>
      <c r="AC1912" s="40"/>
    </row>
    <row r="1913" spans="1:29" hidden="1">
      <c r="A1913" s="751">
        <v>62557</v>
      </c>
      <c r="B1913" s="752" t="s">
        <v>35</v>
      </c>
      <c r="C1913" s="751" t="s">
        <v>2960</v>
      </c>
      <c r="D1913" s="752" t="s">
        <v>2634</v>
      </c>
      <c r="E1913" s="752" t="s">
        <v>2635</v>
      </c>
      <c r="F1913" s="751">
        <v>62057</v>
      </c>
      <c r="G1913" s="752" t="s">
        <v>83</v>
      </c>
      <c r="H1913" s="752" t="s">
        <v>1245</v>
      </c>
      <c r="I1913" s="752" t="s">
        <v>60</v>
      </c>
      <c r="J1913" s="751">
        <v>22</v>
      </c>
      <c r="K1913" s="751">
        <v>2</v>
      </c>
      <c r="L1913" s="752" t="s">
        <v>54</v>
      </c>
      <c r="M1913" s="752" t="s">
        <v>468</v>
      </c>
      <c r="N1913" s="752" t="s">
        <v>469</v>
      </c>
      <c r="O1913" s="752" t="s">
        <v>469</v>
      </c>
      <c r="P1913" s="752" t="s">
        <v>1238</v>
      </c>
      <c r="Q1913" s="753">
        <v>0</v>
      </c>
      <c r="R1913" s="753">
        <v>0</v>
      </c>
      <c r="S1913" s="753">
        <v>62479</v>
      </c>
      <c r="T1913" s="753">
        <v>62479</v>
      </c>
      <c r="U1913" s="753">
        <v>7017</v>
      </c>
      <c r="V1913" s="751">
        <v>2019</v>
      </c>
      <c r="W1913" s="222"/>
      <c r="X1913" s="186"/>
      <c r="Y1913" s="178"/>
      <c r="Z1913" s="178"/>
      <c r="AA1913" s="44"/>
      <c r="AB1913" s="65"/>
      <c r="AC1913" s="40"/>
    </row>
    <row r="1914" spans="1:29" hidden="1">
      <c r="A1914" s="751">
        <v>62558</v>
      </c>
      <c r="B1914" s="752" t="s">
        <v>35</v>
      </c>
      <c r="C1914" s="751" t="s">
        <v>2960</v>
      </c>
      <c r="D1914" s="752" t="s">
        <v>2636</v>
      </c>
      <c r="E1914" s="752" t="s">
        <v>2636</v>
      </c>
      <c r="F1914" s="751">
        <v>62058</v>
      </c>
      <c r="G1914" s="752" t="s">
        <v>136</v>
      </c>
      <c r="H1914" s="752" t="s">
        <v>1245</v>
      </c>
      <c r="I1914" s="752" t="s">
        <v>60</v>
      </c>
      <c r="J1914" s="751">
        <v>22</v>
      </c>
      <c r="K1914" s="751">
        <v>2</v>
      </c>
      <c r="L1914" s="752" t="s">
        <v>54</v>
      </c>
      <c r="M1914" s="752" t="s">
        <v>468</v>
      </c>
      <c r="N1914" s="752" t="s">
        <v>469</v>
      </c>
      <c r="O1914" s="752" t="s">
        <v>469</v>
      </c>
      <c r="P1914" s="752" t="s">
        <v>1238</v>
      </c>
      <c r="Q1914" s="753">
        <v>0</v>
      </c>
      <c r="R1914" s="753">
        <v>0</v>
      </c>
      <c r="S1914" s="753">
        <v>49748</v>
      </c>
      <c r="T1914" s="753">
        <v>49748</v>
      </c>
      <c r="U1914" s="753">
        <v>5587</v>
      </c>
      <c r="V1914" s="751">
        <v>2019</v>
      </c>
      <c r="W1914" s="222"/>
      <c r="X1914" s="186"/>
      <c r="Y1914" s="178"/>
      <c r="Z1914" s="178"/>
      <c r="AA1914" s="44"/>
      <c r="AB1914" s="65"/>
      <c r="AC1914" s="40"/>
    </row>
    <row r="1915" spans="1:29" hidden="1">
      <c r="A1915" s="751">
        <v>62559</v>
      </c>
      <c r="B1915" s="752" t="s">
        <v>35</v>
      </c>
      <c r="C1915" s="751" t="s">
        <v>2960</v>
      </c>
      <c r="D1915" s="752" t="s">
        <v>3066</v>
      </c>
      <c r="E1915" s="752" t="s">
        <v>3067</v>
      </c>
      <c r="F1915" s="751">
        <v>62059</v>
      </c>
      <c r="G1915" s="752" t="s">
        <v>83</v>
      </c>
      <c r="H1915" s="752" t="s">
        <v>1245</v>
      </c>
      <c r="I1915" s="752" t="s">
        <v>60</v>
      </c>
      <c r="J1915" s="751">
        <v>22</v>
      </c>
      <c r="K1915" s="751">
        <v>2</v>
      </c>
      <c r="L1915" s="752" t="s">
        <v>54</v>
      </c>
      <c r="M1915" s="752" t="s">
        <v>468</v>
      </c>
      <c r="N1915" s="752" t="s">
        <v>469</v>
      </c>
      <c r="O1915" s="752" t="s">
        <v>469</v>
      </c>
      <c r="P1915" s="752" t="s">
        <v>1238</v>
      </c>
      <c r="Q1915" s="753">
        <v>0</v>
      </c>
      <c r="R1915" s="753">
        <v>0</v>
      </c>
      <c r="S1915" s="753">
        <v>20614</v>
      </c>
      <c r="T1915" s="753">
        <v>20614</v>
      </c>
      <c r="U1915" s="753">
        <v>2315</v>
      </c>
      <c r="V1915" s="751">
        <v>2019</v>
      </c>
      <c r="W1915" s="222"/>
      <c r="X1915" s="186"/>
      <c r="Y1915" s="178"/>
      <c r="Z1915" s="178"/>
      <c r="AA1915" s="44"/>
      <c r="AB1915" s="65"/>
      <c r="AC1915" s="40"/>
    </row>
    <row r="1916" spans="1:29" ht="25" hidden="1">
      <c r="A1916" s="751">
        <v>62567</v>
      </c>
      <c r="B1916" s="752" t="s">
        <v>35</v>
      </c>
      <c r="C1916" s="751" t="s">
        <v>2960</v>
      </c>
      <c r="D1916" s="752" t="s">
        <v>3068</v>
      </c>
      <c r="E1916" s="752" t="s">
        <v>3068</v>
      </c>
      <c r="F1916" s="751">
        <v>62062</v>
      </c>
      <c r="G1916" s="752" t="s">
        <v>136</v>
      </c>
      <c r="H1916" s="752" t="s">
        <v>1245</v>
      </c>
      <c r="I1916" s="752" t="s">
        <v>60</v>
      </c>
      <c r="J1916" s="751">
        <v>22</v>
      </c>
      <c r="K1916" s="751">
        <v>2</v>
      </c>
      <c r="L1916" s="752" t="s">
        <v>54</v>
      </c>
      <c r="M1916" s="752" t="s">
        <v>468</v>
      </c>
      <c r="N1916" s="752" t="s">
        <v>469</v>
      </c>
      <c r="O1916" s="752" t="s">
        <v>469</v>
      </c>
      <c r="P1916" s="752" t="s">
        <v>1238</v>
      </c>
      <c r="Q1916" s="753">
        <v>0</v>
      </c>
      <c r="R1916" s="753">
        <v>0</v>
      </c>
      <c r="S1916" s="753">
        <v>0</v>
      </c>
      <c r="T1916" s="753">
        <v>0</v>
      </c>
      <c r="U1916" s="753">
        <v>0</v>
      </c>
      <c r="V1916" s="751">
        <v>2019</v>
      </c>
      <c r="W1916" s="222"/>
      <c r="X1916" s="186"/>
      <c r="Y1916" s="178"/>
      <c r="Z1916" s="178"/>
      <c r="AA1916" s="44"/>
      <c r="AB1916" s="65"/>
      <c r="AC1916" s="40"/>
    </row>
    <row r="1917" spans="1:29" ht="25" hidden="1">
      <c r="A1917" s="751">
        <v>62570</v>
      </c>
      <c r="B1917" s="752" t="s">
        <v>35</v>
      </c>
      <c r="C1917" s="751" t="s">
        <v>2960</v>
      </c>
      <c r="D1917" s="752" t="s">
        <v>3069</v>
      </c>
      <c r="E1917" s="752" t="s">
        <v>3070</v>
      </c>
      <c r="F1917" s="751">
        <v>62069</v>
      </c>
      <c r="G1917" s="752" t="s">
        <v>83</v>
      </c>
      <c r="H1917" s="752" t="s">
        <v>1245</v>
      </c>
      <c r="I1917" s="752" t="s">
        <v>60</v>
      </c>
      <c r="J1917" s="751">
        <v>22</v>
      </c>
      <c r="K1917" s="751">
        <v>2</v>
      </c>
      <c r="L1917" s="752" t="s">
        <v>54</v>
      </c>
      <c r="M1917" s="752" t="s">
        <v>73</v>
      </c>
      <c r="N1917" s="752" t="s">
        <v>74</v>
      </c>
      <c r="O1917" s="752" t="s">
        <v>74</v>
      </c>
      <c r="P1917" s="752" t="s">
        <v>1238</v>
      </c>
      <c r="Q1917" s="753">
        <v>0</v>
      </c>
      <c r="R1917" s="753">
        <v>0</v>
      </c>
      <c r="S1917" s="753">
        <v>10</v>
      </c>
      <c r="T1917" s="753">
        <v>10</v>
      </c>
      <c r="U1917" s="753">
        <v>1</v>
      </c>
      <c r="V1917" s="751">
        <v>2019</v>
      </c>
      <c r="W1917" s="222"/>
      <c r="X1917" s="186"/>
      <c r="Y1917" s="178"/>
      <c r="Z1917" s="178"/>
      <c r="AA1917" s="44"/>
      <c r="AB1917" s="65"/>
      <c r="AC1917" s="40"/>
    </row>
    <row r="1918" spans="1:29">
      <c r="A1918" s="751">
        <v>62572</v>
      </c>
      <c r="B1918" s="752" t="s">
        <v>35</v>
      </c>
      <c r="C1918" s="751" t="s">
        <v>2960</v>
      </c>
      <c r="D1918" s="752" t="s">
        <v>2637</v>
      </c>
      <c r="E1918" s="752" t="s">
        <v>1890</v>
      </c>
      <c r="F1918" s="751">
        <v>57128</v>
      </c>
      <c r="G1918" s="752" t="s">
        <v>59</v>
      </c>
      <c r="H1918" s="752" t="s">
        <v>1244</v>
      </c>
      <c r="I1918" s="752" t="s">
        <v>60</v>
      </c>
      <c r="J1918" s="751">
        <v>22</v>
      </c>
      <c r="K1918" s="751">
        <v>2</v>
      </c>
      <c r="L1918" s="752" t="s">
        <v>54</v>
      </c>
      <c r="M1918" s="752" t="s">
        <v>1322</v>
      </c>
      <c r="N1918" s="752" t="s">
        <v>41</v>
      </c>
      <c r="O1918" s="752" t="s">
        <v>41</v>
      </c>
      <c r="P1918" s="752" t="s">
        <v>1091</v>
      </c>
      <c r="Q1918" s="753">
        <v>54109</v>
      </c>
      <c r="R1918" s="753">
        <v>54109</v>
      </c>
      <c r="S1918" s="753">
        <v>55624</v>
      </c>
      <c r="T1918" s="753">
        <v>55624</v>
      </c>
      <c r="U1918" s="753">
        <v>7703</v>
      </c>
      <c r="V1918" s="751">
        <v>2019</v>
      </c>
      <c r="W1918" s="222"/>
      <c r="X1918" s="186"/>
      <c r="Y1918" s="178"/>
      <c r="Z1918" s="178"/>
      <c r="AA1918" s="44"/>
      <c r="AB1918" s="65"/>
      <c r="AC1918" s="40"/>
    </row>
    <row r="1919" spans="1:29">
      <c r="A1919" s="751">
        <v>62576</v>
      </c>
      <c r="B1919" s="752" t="s">
        <v>35</v>
      </c>
      <c r="C1919" s="751" t="s">
        <v>2960</v>
      </c>
      <c r="D1919" s="752" t="s">
        <v>2638</v>
      </c>
      <c r="E1919" s="752" t="s">
        <v>1890</v>
      </c>
      <c r="F1919" s="751">
        <v>57128</v>
      </c>
      <c r="G1919" s="752" t="s">
        <v>59</v>
      </c>
      <c r="H1919" s="752" t="s">
        <v>1244</v>
      </c>
      <c r="I1919" s="752" t="s">
        <v>60</v>
      </c>
      <c r="J1919" s="751">
        <v>22</v>
      </c>
      <c r="K1919" s="751">
        <v>2</v>
      </c>
      <c r="L1919" s="752" t="s">
        <v>54</v>
      </c>
      <c r="M1919" s="752" t="s">
        <v>1322</v>
      </c>
      <c r="N1919" s="752" t="s">
        <v>41</v>
      </c>
      <c r="O1919" s="752" t="s">
        <v>41</v>
      </c>
      <c r="P1919" s="752" t="s">
        <v>1091</v>
      </c>
      <c r="Q1919" s="753">
        <v>61261</v>
      </c>
      <c r="R1919" s="753">
        <v>61261</v>
      </c>
      <c r="S1919" s="753">
        <v>76577</v>
      </c>
      <c r="T1919" s="753">
        <v>76577</v>
      </c>
      <c r="U1919" s="753">
        <v>8555</v>
      </c>
      <c r="V1919" s="751">
        <v>2019</v>
      </c>
      <c r="W1919" s="222"/>
      <c r="X1919" s="186"/>
      <c r="Y1919" s="178"/>
      <c r="Z1919" s="178"/>
      <c r="AA1919" s="44"/>
      <c r="AB1919" s="65"/>
      <c r="AC1919" s="40"/>
    </row>
    <row r="1920" spans="1:29" hidden="1">
      <c r="A1920" s="751">
        <v>62579</v>
      </c>
      <c r="B1920" s="752" t="s">
        <v>35</v>
      </c>
      <c r="C1920" s="751" t="s">
        <v>2960</v>
      </c>
      <c r="D1920" s="752" t="s">
        <v>3071</v>
      </c>
      <c r="E1920" s="752" t="s">
        <v>3072</v>
      </c>
      <c r="F1920" s="751">
        <v>62070</v>
      </c>
      <c r="G1920" s="752" t="s">
        <v>83</v>
      </c>
      <c r="H1920" s="752" t="s">
        <v>1245</v>
      </c>
      <c r="I1920" s="752" t="s">
        <v>60</v>
      </c>
      <c r="J1920" s="751">
        <v>22</v>
      </c>
      <c r="K1920" s="751">
        <v>2</v>
      </c>
      <c r="L1920" s="752" t="s">
        <v>54</v>
      </c>
      <c r="M1920" s="752" t="s">
        <v>468</v>
      </c>
      <c r="N1920" s="752" t="s">
        <v>469</v>
      </c>
      <c r="O1920" s="752" t="s">
        <v>469</v>
      </c>
      <c r="P1920" s="752" t="s">
        <v>1238</v>
      </c>
      <c r="Q1920" s="753">
        <v>0</v>
      </c>
      <c r="R1920" s="753">
        <v>0</v>
      </c>
      <c r="S1920" s="753">
        <v>17863</v>
      </c>
      <c r="T1920" s="753">
        <v>17863</v>
      </c>
      <c r="U1920" s="753">
        <v>2006</v>
      </c>
      <c r="V1920" s="751">
        <v>2019</v>
      </c>
      <c r="W1920" s="222"/>
      <c r="X1920" s="186"/>
      <c r="Y1920" s="178"/>
      <c r="Z1920" s="178"/>
      <c r="AA1920" s="44"/>
      <c r="AB1920" s="65"/>
      <c r="AC1920" s="40"/>
    </row>
    <row r="1921" spans="1:29" ht="25" hidden="1">
      <c r="A1921" s="751">
        <v>62580</v>
      </c>
      <c r="B1921" s="752" t="s">
        <v>35</v>
      </c>
      <c r="C1921" s="751" t="s">
        <v>2960</v>
      </c>
      <c r="D1921" s="752" t="s">
        <v>2639</v>
      </c>
      <c r="E1921" s="752" t="s">
        <v>2640</v>
      </c>
      <c r="F1921" s="751">
        <v>62071</v>
      </c>
      <c r="G1921" s="752" t="s">
        <v>59</v>
      </c>
      <c r="H1921" s="752" t="s">
        <v>1244</v>
      </c>
      <c r="I1921" s="752" t="s">
        <v>60</v>
      </c>
      <c r="J1921" s="751">
        <v>22</v>
      </c>
      <c r="K1921" s="751">
        <v>2</v>
      </c>
      <c r="L1921" s="752" t="s">
        <v>54</v>
      </c>
      <c r="M1921" s="752" t="s">
        <v>468</v>
      </c>
      <c r="N1921" s="752" t="s">
        <v>469</v>
      </c>
      <c r="O1921" s="752" t="s">
        <v>469</v>
      </c>
      <c r="P1921" s="752" t="s">
        <v>1238</v>
      </c>
      <c r="Q1921" s="753">
        <v>0</v>
      </c>
      <c r="R1921" s="753">
        <v>0</v>
      </c>
      <c r="S1921" s="753">
        <v>50130</v>
      </c>
      <c r="T1921" s="753">
        <v>50130</v>
      </c>
      <c r="U1921" s="753">
        <v>5630</v>
      </c>
      <c r="V1921" s="751">
        <v>2019</v>
      </c>
      <c r="W1921" s="222"/>
      <c r="X1921" s="186"/>
      <c r="Y1921" s="178"/>
      <c r="Z1921" s="178"/>
      <c r="AA1921" s="44"/>
      <c r="AB1921" s="65"/>
      <c r="AC1921" s="40"/>
    </row>
    <row r="1922" spans="1:29" hidden="1">
      <c r="A1922" s="751">
        <v>62581</v>
      </c>
      <c r="B1922" s="752" t="s">
        <v>35</v>
      </c>
      <c r="C1922" s="751" t="s">
        <v>2960</v>
      </c>
      <c r="D1922" s="752" t="s">
        <v>3073</v>
      </c>
      <c r="E1922" s="752" t="s">
        <v>3073</v>
      </c>
      <c r="F1922" s="751">
        <v>62068</v>
      </c>
      <c r="G1922" s="752" t="s">
        <v>83</v>
      </c>
      <c r="H1922" s="752" t="s">
        <v>1245</v>
      </c>
      <c r="I1922" s="752" t="s">
        <v>60</v>
      </c>
      <c r="J1922" s="751">
        <v>22</v>
      </c>
      <c r="K1922" s="751">
        <v>2</v>
      </c>
      <c r="L1922" s="752" t="s">
        <v>54</v>
      </c>
      <c r="M1922" s="752" t="s">
        <v>468</v>
      </c>
      <c r="N1922" s="752" t="s">
        <v>469</v>
      </c>
      <c r="O1922" s="752" t="s">
        <v>469</v>
      </c>
      <c r="P1922" s="752" t="s">
        <v>1238</v>
      </c>
      <c r="Q1922" s="753">
        <v>0</v>
      </c>
      <c r="R1922" s="753">
        <v>0</v>
      </c>
      <c r="S1922" s="753">
        <v>41643</v>
      </c>
      <c r="T1922" s="753">
        <v>41643</v>
      </c>
      <c r="U1922" s="753">
        <v>4677</v>
      </c>
      <c r="V1922" s="751">
        <v>2019</v>
      </c>
      <c r="W1922" s="222"/>
      <c r="X1922" s="186"/>
      <c r="Y1922" s="178"/>
      <c r="Z1922" s="178"/>
      <c r="AA1922" s="44"/>
      <c r="AB1922" s="65"/>
      <c r="AC1922" s="40"/>
    </row>
    <row r="1923" spans="1:29" hidden="1">
      <c r="A1923" s="751">
        <v>62582</v>
      </c>
      <c r="B1923" s="752" t="s">
        <v>35</v>
      </c>
      <c r="C1923" s="751" t="s">
        <v>2960</v>
      </c>
      <c r="D1923" s="752" t="s">
        <v>3074</v>
      </c>
      <c r="E1923" s="752" t="s">
        <v>3075</v>
      </c>
      <c r="F1923" s="751">
        <v>62072</v>
      </c>
      <c r="G1923" s="752" t="s">
        <v>59</v>
      </c>
      <c r="H1923" s="752" t="s">
        <v>1244</v>
      </c>
      <c r="I1923" s="752" t="s">
        <v>60</v>
      </c>
      <c r="J1923" s="751">
        <v>22</v>
      </c>
      <c r="K1923" s="751">
        <v>2</v>
      </c>
      <c r="L1923" s="752" t="s">
        <v>54</v>
      </c>
      <c r="M1923" s="752" t="s">
        <v>468</v>
      </c>
      <c r="N1923" s="752" t="s">
        <v>469</v>
      </c>
      <c r="O1923" s="752" t="s">
        <v>469</v>
      </c>
      <c r="P1923" s="752" t="s">
        <v>1238</v>
      </c>
      <c r="Q1923" s="753">
        <v>0</v>
      </c>
      <c r="R1923" s="753">
        <v>0</v>
      </c>
      <c r="S1923" s="753">
        <v>68684</v>
      </c>
      <c r="T1923" s="753">
        <v>68684</v>
      </c>
      <c r="U1923" s="753">
        <v>7714</v>
      </c>
      <c r="V1923" s="751">
        <v>2019</v>
      </c>
      <c r="W1923" s="222"/>
      <c r="X1923" s="186"/>
      <c r="Y1923" s="178"/>
      <c r="Z1923" s="178"/>
      <c r="AA1923" s="44"/>
      <c r="AB1923" s="65"/>
      <c r="AC1923" s="40"/>
    </row>
    <row r="1924" spans="1:29" hidden="1">
      <c r="A1924" s="751">
        <v>62583</v>
      </c>
      <c r="B1924" s="752" t="s">
        <v>35</v>
      </c>
      <c r="C1924" s="751" t="s">
        <v>2960</v>
      </c>
      <c r="D1924" s="752" t="s">
        <v>2641</v>
      </c>
      <c r="E1924" s="752" t="s">
        <v>2641</v>
      </c>
      <c r="F1924" s="751">
        <v>62073</v>
      </c>
      <c r="G1924" s="752" t="s">
        <v>83</v>
      </c>
      <c r="H1924" s="752" t="s">
        <v>1245</v>
      </c>
      <c r="I1924" s="752" t="s">
        <v>60</v>
      </c>
      <c r="J1924" s="751">
        <v>22</v>
      </c>
      <c r="K1924" s="751">
        <v>2</v>
      </c>
      <c r="L1924" s="752" t="s">
        <v>54</v>
      </c>
      <c r="M1924" s="752" t="s">
        <v>468</v>
      </c>
      <c r="N1924" s="752" t="s">
        <v>469</v>
      </c>
      <c r="O1924" s="752" t="s">
        <v>469</v>
      </c>
      <c r="P1924" s="752" t="s">
        <v>1238</v>
      </c>
      <c r="Q1924" s="753">
        <v>0</v>
      </c>
      <c r="R1924" s="753">
        <v>0</v>
      </c>
      <c r="S1924" s="753">
        <v>63131</v>
      </c>
      <c r="T1924" s="753">
        <v>63131</v>
      </c>
      <c r="U1924" s="753">
        <v>7090</v>
      </c>
      <c r="V1924" s="751">
        <v>2019</v>
      </c>
      <c r="W1924" s="222"/>
      <c r="X1924" s="186"/>
      <c r="Y1924" s="178"/>
      <c r="Z1924" s="178"/>
      <c r="AA1924" s="44"/>
      <c r="AB1924" s="65"/>
      <c r="AC1924" s="40"/>
    </row>
    <row r="1925" spans="1:29" ht="25" hidden="1">
      <c r="A1925" s="751">
        <v>62585</v>
      </c>
      <c r="B1925" s="752" t="s">
        <v>35</v>
      </c>
      <c r="C1925" s="751" t="s">
        <v>2960</v>
      </c>
      <c r="D1925" s="752" t="s">
        <v>3076</v>
      </c>
      <c r="E1925" s="752" t="s">
        <v>380</v>
      </c>
      <c r="F1925" s="751">
        <v>11806</v>
      </c>
      <c r="G1925" s="752" t="s">
        <v>83</v>
      </c>
      <c r="H1925" s="752" t="s">
        <v>1245</v>
      </c>
      <c r="I1925" s="752" t="s">
        <v>60</v>
      </c>
      <c r="J1925" s="751">
        <v>22</v>
      </c>
      <c r="K1925" s="751">
        <v>1</v>
      </c>
      <c r="L1925" s="752" t="s">
        <v>36</v>
      </c>
      <c r="M1925" s="752" t="s">
        <v>2001</v>
      </c>
      <c r="N1925" s="752" t="s">
        <v>1107</v>
      </c>
      <c r="O1925" s="752" t="s">
        <v>84</v>
      </c>
      <c r="P1925" s="752" t="s">
        <v>2961</v>
      </c>
      <c r="Q1925" s="753">
        <v>126</v>
      </c>
      <c r="R1925" s="753">
        <v>126</v>
      </c>
      <c r="S1925" s="753">
        <v>0</v>
      </c>
      <c r="T1925" s="753">
        <v>0</v>
      </c>
      <c r="U1925" s="753">
        <v>-35</v>
      </c>
      <c r="V1925" s="751">
        <v>2019</v>
      </c>
      <c r="W1925" s="222"/>
      <c r="X1925" s="186"/>
      <c r="Y1925" s="178"/>
      <c r="Z1925" s="178"/>
      <c r="AA1925" s="44"/>
      <c r="AB1925" s="65"/>
      <c r="AC1925" s="40"/>
    </row>
    <row r="1926" spans="1:29" ht="25" hidden="1">
      <c r="A1926" s="751">
        <v>62589</v>
      </c>
      <c r="B1926" s="752" t="s">
        <v>35</v>
      </c>
      <c r="C1926" s="751" t="s">
        <v>2960</v>
      </c>
      <c r="D1926" s="752" t="s">
        <v>3077</v>
      </c>
      <c r="E1926" s="752" t="s">
        <v>3077</v>
      </c>
      <c r="F1926" s="751">
        <v>62087</v>
      </c>
      <c r="G1926" s="752" t="s">
        <v>59</v>
      </c>
      <c r="H1926" s="752" t="s">
        <v>1244</v>
      </c>
      <c r="I1926" s="752" t="s">
        <v>60</v>
      </c>
      <c r="J1926" s="751">
        <v>622</v>
      </c>
      <c r="K1926" s="751">
        <v>4</v>
      </c>
      <c r="L1926" s="752" t="s">
        <v>422</v>
      </c>
      <c r="M1926" s="752" t="s">
        <v>53</v>
      </c>
      <c r="N1926" s="752" t="s">
        <v>48</v>
      </c>
      <c r="O1926" s="752" t="s">
        <v>48</v>
      </c>
      <c r="P1926" s="752" t="s">
        <v>49</v>
      </c>
      <c r="Q1926" s="753">
        <v>36</v>
      </c>
      <c r="R1926" s="753">
        <v>36</v>
      </c>
      <c r="S1926" s="753">
        <v>199</v>
      </c>
      <c r="T1926" s="753">
        <v>199</v>
      </c>
      <c r="U1926" s="753">
        <v>11</v>
      </c>
      <c r="V1926" s="751">
        <v>2019</v>
      </c>
      <c r="W1926" s="222"/>
      <c r="X1926" s="186"/>
      <c r="Y1926" s="178"/>
      <c r="Z1926" s="178"/>
      <c r="AA1926" s="44"/>
      <c r="AB1926" s="65"/>
      <c r="AC1926" s="40"/>
    </row>
    <row r="1927" spans="1:29" hidden="1">
      <c r="A1927" s="751">
        <v>62613</v>
      </c>
      <c r="B1927" s="752" t="s">
        <v>35</v>
      </c>
      <c r="C1927" s="751" t="s">
        <v>2960</v>
      </c>
      <c r="D1927" s="752" t="s">
        <v>2642</v>
      </c>
      <c r="E1927" s="752" t="s">
        <v>2643</v>
      </c>
      <c r="F1927" s="751">
        <v>62067</v>
      </c>
      <c r="G1927" s="752" t="s">
        <v>59</v>
      </c>
      <c r="H1927" s="752" t="s">
        <v>1244</v>
      </c>
      <c r="I1927" s="752" t="s">
        <v>60</v>
      </c>
      <c r="J1927" s="751">
        <v>22</v>
      </c>
      <c r="K1927" s="751">
        <v>2</v>
      </c>
      <c r="L1927" s="752" t="s">
        <v>54</v>
      </c>
      <c r="M1927" s="752" t="s">
        <v>468</v>
      </c>
      <c r="N1927" s="752" t="s">
        <v>469</v>
      </c>
      <c r="O1927" s="752" t="s">
        <v>469</v>
      </c>
      <c r="P1927" s="752" t="s">
        <v>1238</v>
      </c>
      <c r="Q1927" s="753">
        <v>0</v>
      </c>
      <c r="R1927" s="753">
        <v>0</v>
      </c>
      <c r="S1927" s="753">
        <v>19144</v>
      </c>
      <c r="T1927" s="753">
        <v>19144</v>
      </c>
      <c r="U1927" s="753">
        <v>2150</v>
      </c>
      <c r="V1927" s="751">
        <v>2019</v>
      </c>
      <c r="W1927" s="222"/>
      <c r="X1927" s="186"/>
      <c r="Y1927" s="178"/>
      <c r="Z1927" s="178"/>
      <c r="AA1927" s="44"/>
      <c r="AB1927" s="65"/>
      <c r="AC1927" s="40"/>
    </row>
    <row r="1928" spans="1:29" hidden="1">
      <c r="A1928" s="751">
        <v>62614</v>
      </c>
      <c r="B1928" s="752" t="s">
        <v>35</v>
      </c>
      <c r="C1928" s="751" t="s">
        <v>2960</v>
      </c>
      <c r="D1928" s="752" t="s">
        <v>2644</v>
      </c>
      <c r="E1928" s="752" t="s">
        <v>2643</v>
      </c>
      <c r="F1928" s="751">
        <v>62067</v>
      </c>
      <c r="G1928" s="752" t="s">
        <v>59</v>
      </c>
      <c r="H1928" s="752" t="s">
        <v>1244</v>
      </c>
      <c r="I1928" s="752" t="s">
        <v>60</v>
      </c>
      <c r="J1928" s="751">
        <v>22</v>
      </c>
      <c r="K1928" s="751">
        <v>2</v>
      </c>
      <c r="L1928" s="752" t="s">
        <v>54</v>
      </c>
      <c r="M1928" s="752" t="s">
        <v>468</v>
      </c>
      <c r="N1928" s="752" t="s">
        <v>469</v>
      </c>
      <c r="O1928" s="752" t="s">
        <v>469</v>
      </c>
      <c r="P1928" s="752" t="s">
        <v>1238</v>
      </c>
      <c r="Q1928" s="753">
        <v>0</v>
      </c>
      <c r="R1928" s="753">
        <v>0</v>
      </c>
      <c r="S1928" s="753">
        <v>34396</v>
      </c>
      <c r="T1928" s="753">
        <v>34396</v>
      </c>
      <c r="U1928" s="753">
        <v>3863</v>
      </c>
      <c r="V1928" s="751">
        <v>2019</v>
      </c>
      <c r="W1928" s="222"/>
      <c r="X1928" s="186"/>
      <c r="Y1928" s="178"/>
      <c r="Z1928" s="178"/>
      <c r="AA1928" s="44"/>
      <c r="AB1928" s="65"/>
      <c r="AC1928" s="40"/>
    </row>
    <row r="1929" spans="1:29" hidden="1">
      <c r="A1929" s="751">
        <v>62615</v>
      </c>
      <c r="B1929" s="752" t="s">
        <v>35</v>
      </c>
      <c r="C1929" s="751" t="s">
        <v>2960</v>
      </c>
      <c r="D1929" s="752" t="s">
        <v>2645</v>
      </c>
      <c r="E1929" s="752" t="s">
        <v>2643</v>
      </c>
      <c r="F1929" s="751">
        <v>62067</v>
      </c>
      <c r="G1929" s="752" t="s">
        <v>43</v>
      </c>
      <c r="H1929" s="752" t="s">
        <v>1245</v>
      </c>
      <c r="I1929" s="752" t="s">
        <v>60</v>
      </c>
      <c r="J1929" s="751">
        <v>22</v>
      </c>
      <c r="K1929" s="751">
        <v>2</v>
      </c>
      <c r="L1929" s="752" t="s">
        <v>54</v>
      </c>
      <c r="M1929" s="752" t="s">
        <v>468</v>
      </c>
      <c r="N1929" s="752" t="s">
        <v>469</v>
      </c>
      <c r="O1929" s="752" t="s">
        <v>469</v>
      </c>
      <c r="P1929" s="752" t="s">
        <v>1238</v>
      </c>
      <c r="Q1929" s="753">
        <v>0</v>
      </c>
      <c r="R1929" s="753">
        <v>0</v>
      </c>
      <c r="S1929" s="753">
        <v>14986</v>
      </c>
      <c r="T1929" s="753">
        <v>14986</v>
      </c>
      <c r="U1929" s="753">
        <v>1683</v>
      </c>
      <c r="V1929" s="751">
        <v>2019</v>
      </c>
      <c r="W1929" s="222"/>
      <c r="X1929" s="186"/>
      <c r="Y1929" s="178"/>
      <c r="Z1929" s="178"/>
      <c r="AA1929" s="44"/>
      <c r="AB1929" s="65"/>
      <c r="AC1929" s="40"/>
    </row>
    <row r="1930" spans="1:29" ht="25" hidden="1">
      <c r="A1930" s="751">
        <v>62619</v>
      </c>
      <c r="B1930" s="752" t="s">
        <v>35</v>
      </c>
      <c r="C1930" s="751" t="s">
        <v>2960</v>
      </c>
      <c r="D1930" s="752" t="s">
        <v>3078</v>
      </c>
      <c r="E1930" s="752" t="s">
        <v>3078</v>
      </c>
      <c r="F1930" s="751">
        <v>62110</v>
      </c>
      <c r="G1930" s="752" t="s">
        <v>59</v>
      </c>
      <c r="H1930" s="752" t="s">
        <v>1244</v>
      </c>
      <c r="I1930" s="752" t="s">
        <v>60</v>
      </c>
      <c r="J1930" s="751">
        <v>622</v>
      </c>
      <c r="K1930" s="751">
        <v>4</v>
      </c>
      <c r="L1930" s="752" t="s">
        <v>422</v>
      </c>
      <c r="M1930" s="752" t="s">
        <v>53</v>
      </c>
      <c r="N1930" s="752" t="s">
        <v>48</v>
      </c>
      <c r="O1930" s="752" t="s">
        <v>48</v>
      </c>
      <c r="P1930" s="752" t="s">
        <v>49</v>
      </c>
      <c r="Q1930" s="753">
        <v>43</v>
      </c>
      <c r="R1930" s="753">
        <v>43</v>
      </c>
      <c r="S1930" s="753">
        <v>237</v>
      </c>
      <c r="T1930" s="753">
        <v>237</v>
      </c>
      <c r="U1930" s="753">
        <v>16.824000000000002</v>
      </c>
      <c r="V1930" s="751">
        <v>2019</v>
      </c>
      <c r="W1930" s="222"/>
      <c r="X1930" s="186"/>
      <c r="Y1930" s="178"/>
      <c r="Z1930" s="178"/>
      <c r="AA1930" s="44"/>
      <c r="AB1930" s="65"/>
      <c r="AC1930" s="40"/>
    </row>
    <row r="1931" spans="1:29" ht="25" hidden="1">
      <c r="A1931" s="751">
        <v>62619</v>
      </c>
      <c r="B1931" s="752" t="s">
        <v>35</v>
      </c>
      <c r="C1931" s="751" t="s">
        <v>2960</v>
      </c>
      <c r="D1931" s="752" t="s">
        <v>3078</v>
      </c>
      <c r="E1931" s="752" t="s">
        <v>3078</v>
      </c>
      <c r="F1931" s="751">
        <v>62110</v>
      </c>
      <c r="G1931" s="752" t="s">
        <v>59</v>
      </c>
      <c r="H1931" s="752" t="s">
        <v>1244</v>
      </c>
      <c r="I1931" s="752" t="s">
        <v>60</v>
      </c>
      <c r="J1931" s="751">
        <v>622</v>
      </c>
      <c r="K1931" s="751">
        <v>4</v>
      </c>
      <c r="L1931" s="752" t="s">
        <v>422</v>
      </c>
      <c r="M1931" s="752" t="s">
        <v>53</v>
      </c>
      <c r="N1931" s="752" t="s">
        <v>41</v>
      </c>
      <c r="O1931" s="752" t="s">
        <v>41</v>
      </c>
      <c r="P1931" s="752" t="s">
        <v>1091</v>
      </c>
      <c r="Q1931" s="753">
        <v>289</v>
      </c>
      <c r="R1931" s="753">
        <v>289</v>
      </c>
      <c r="S1931" s="753">
        <v>301</v>
      </c>
      <c r="T1931" s="753">
        <v>301</v>
      </c>
      <c r="U1931" s="753">
        <v>21.175999999999998</v>
      </c>
      <c r="V1931" s="751">
        <v>2019</v>
      </c>
      <c r="W1931" s="222"/>
      <c r="X1931" s="186"/>
      <c r="Y1931" s="178"/>
      <c r="Z1931" s="178"/>
      <c r="AA1931" s="44"/>
      <c r="AB1931" s="65"/>
      <c r="AC1931" s="40"/>
    </row>
    <row r="1932" spans="1:29" hidden="1">
      <c r="A1932" s="751">
        <v>62625</v>
      </c>
      <c r="B1932" s="752" t="s">
        <v>35</v>
      </c>
      <c r="C1932" s="751" t="s">
        <v>2960</v>
      </c>
      <c r="D1932" s="752" t="s">
        <v>2646</v>
      </c>
      <c r="E1932" s="752" t="s">
        <v>17</v>
      </c>
      <c r="F1932" s="751">
        <v>18488</v>
      </c>
      <c r="G1932" s="752" t="s">
        <v>83</v>
      </c>
      <c r="H1932" s="752" t="s">
        <v>1245</v>
      </c>
      <c r="I1932" s="752" t="s">
        <v>60</v>
      </c>
      <c r="J1932" s="751">
        <v>22</v>
      </c>
      <c r="K1932" s="751">
        <v>1</v>
      </c>
      <c r="L1932" s="752" t="s">
        <v>36</v>
      </c>
      <c r="M1932" s="752" t="s">
        <v>53</v>
      </c>
      <c r="N1932" s="752" t="s">
        <v>48</v>
      </c>
      <c r="O1932" s="752" t="s">
        <v>48</v>
      </c>
      <c r="P1932" s="752" t="s">
        <v>49</v>
      </c>
      <c r="Q1932" s="753">
        <v>2167</v>
      </c>
      <c r="R1932" s="753">
        <v>2167</v>
      </c>
      <c r="S1932" s="753">
        <v>12567</v>
      </c>
      <c r="T1932" s="753">
        <v>12567</v>
      </c>
      <c r="U1932" s="753">
        <v>1311</v>
      </c>
      <c r="V1932" s="751">
        <v>2019</v>
      </c>
      <c r="W1932" s="222"/>
      <c r="X1932" s="186"/>
      <c r="Y1932" s="178"/>
      <c r="Z1932" s="178"/>
      <c r="AA1932" s="44"/>
      <c r="AB1932" s="65"/>
      <c r="AC1932" s="40"/>
    </row>
    <row r="1933" spans="1:29" ht="25" hidden="1">
      <c r="A1933" s="751">
        <v>62639</v>
      </c>
      <c r="B1933" s="752" t="s">
        <v>35</v>
      </c>
      <c r="C1933" s="751" t="s">
        <v>2960</v>
      </c>
      <c r="D1933" s="752" t="s">
        <v>2647</v>
      </c>
      <c r="E1933" s="752" t="s">
        <v>2157</v>
      </c>
      <c r="F1933" s="751">
        <v>60584</v>
      </c>
      <c r="G1933" s="752" t="s">
        <v>43</v>
      </c>
      <c r="H1933" s="752" t="s">
        <v>1245</v>
      </c>
      <c r="I1933" s="752" t="s">
        <v>60</v>
      </c>
      <c r="J1933" s="751">
        <v>22</v>
      </c>
      <c r="K1933" s="751">
        <v>2</v>
      </c>
      <c r="L1933" s="752" t="s">
        <v>54</v>
      </c>
      <c r="M1933" s="752" t="s">
        <v>468</v>
      </c>
      <c r="N1933" s="752" t="s">
        <v>469</v>
      </c>
      <c r="O1933" s="752" t="s">
        <v>469</v>
      </c>
      <c r="P1933" s="752" t="s">
        <v>1238</v>
      </c>
      <c r="Q1933" s="753">
        <v>0</v>
      </c>
      <c r="R1933" s="753">
        <v>0</v>
      </c>
      <c r="S1933" s="753">
        <v>14132</v>
      </c>
      <c r="T1933" s="753">
        <v>14132</v>
      </c>
      <c r="U1933" s="753">
        <v>1587</v>
      </c>
      <c r="V1933" s="751">
        <v>2019</v>
      </c>
      <c r="W1933" s="222"/>
      <c r="X1933" s="186"/>
      <c r="Y1933" s="178"/>
      <c r="Z1933" s="178"/>
      <c r="AA1933" s="44"/>
      <c r="AB1933" s="65"/>
      <c r="AC1933" s="40"/>
    </row>
    <row r="1934" spans="1:29" ht="25" hidden="1">
      <c r="A1934" s="751">
        <v>62640</v>
      </c>
      <c r="B1934" s="752" t="s">
        <v>35</v>
      </c>
      <c r="C1934" s="751" t="s">
        <v>2960</v>
      </c>
      <c r="D1934" s="752" t="s">
        <v>2648</v>
      </c>
      <c r="E1934" s="752" t="s">
        <v>2157</v>
      </c>
      <c r="F1934" s="751">
        <v>60584</v>
      </c>
      <c r="G1934" s="752" t="s">
        <v>43</v>
      </c>
      <c r="H1934" s="752" t="s">
        <v>1245</v>
      </c>
      <c r="I1934" s="752" t="s">
        <v>60</v>
      </c>
      <c r="J1934" s="751">
        <v>22</v>
      </c>
      <c r="K1934" s="751">
        <v>2</v>
      </c>
      <c r="L1934" s="752" t="s">
        <v>54</v>
      </c>
      <c r="M1934" s="752" t="s">
        <v>468</v>
      </c>
      <c r="N1934" s="752" t="s">
        <v>469</v>
      </c>
      <c r="O1934" s="752" t="s">
        <v>469</v>
      </c>
      <c r="P1934" s="752" t="s">
        <v>1238</v>
      </c>
      <c r="Q1934" s="753">
        <v>0</v>
      </c>
      <c r="R1934" s="753">
        <v>0</v>
      </c>
      <c r="S1934" s="753">
        <v>14763</v>
      </c>
      <c r="T1934" s="753">
        <v>14763</v>
      </c>
      <c r="U1934" s="753">
        <v>1658</v>
      </c>
      <c r="V1934" s="751">
        <v>2019</v>
      </c>
      <c r="W1934" s="222"/>
      <c r="X1934" s="186"/>
      <c r="Y1934" s="178"/>
      <c r="Z1934" s="178"/>
      <c r="AA1934" s="44"/>
      <c r="AB1934" s="65"/>
      <c r="AC1934" s="40"/>
    </row>
    <row r="1935" spans="1:29" ht="25" hidden="1">
      <c r="A1935" s="751">
        <v>62644</v>
      </c>
      <c r="B1935" s="752" t="s">
        <v>35</v>
      </c>
      <c r="C1935" s="751" t="s">
        <v>2960</v>
      </c>
      <c r="D1935" s="752" t="s">
        <v>3079</v>
      </c>
      <c r="E1935" s="752" t="s">
        <v>3080</v>
      </c>
      <c r="F1935" s="751">
        <v>62122</v>
      </c>
      <c r="G1935" s="752" t="s">
        <v>83</v>
      </c>
      <c r="H1935" s="752" t="s">
        <v>1245</v>
      </c>
      <c r="I1935" s="752" t="s">
        <v>60</v>
      </c>
      <c r="J1935" s="751">
        <v>22</v>
      </c>
      <c r="K1935" s="751">
        <v>2</v>
      </c>
      <c r="L1935" s="752" t="s">
        <v>54</v>
      </c>
      <c r="M1935" s="752" t="s">
        <v>2001</v>
      </c>
      <c r="N1935" s="752" t="s">
        <v>1107</v>
      </c>
      <c r="O1935" s="752" t="s">
        <v>84</v>
      </c>
      <c r="P1935" s="752" t="s">
        <v>2961</v>
      </c>
      <c r="Q1935" s="753">
        <v>489</v>
      </c>
      <c r="R1935" s="753">
        <v>489</v>
      </c>
      <c r="S1935" s="753">
        <v>0</v>
      </c>
      <c r="T1935" s="753">
        <v>0</v>
      </c>
      <c r="U1935" s="753">
        <v>-85</v>
      </c>
      <c r="V1935" s="751">
        <v>2019</v>
      </c>
      <c r="W1935" s="222"/>
      <c r="X1935" s="186"/>
      <c r="Y1935" s="178"/>
      <c r="Z1935" s="178"/>
      <c r="AA1935" s="44"/>
      <c r="AB1935" s="65"/>
      <c r="AC1935" s="40"/>
    </row>
    <row r="1936" spans="1:29" hidden="1">
      <c r="A1936" s="751">
        <v>62646</v>
      </c>
      <c r="B1936" s="752" t="s">
        <v>35</v>
      </c>
      <c r="C1936" s="751" t="s">
        <v>2960</v>
      </c>
      <c r="D1936" s="752" t="s">
        <v>2649</v>
      </c>
      <c r="E1936" s="752" t="s">
        <v>2650</v>
      </c>
      <c r="F1936" s="751">
        <v>62123</v>
      </c>
      <c r="G1936" s="752" t="s">
        <v>83</v>
      </c>
      <c r="H1936" s="752" t="s">
        <v>1245</v>
      </c>
      <c r="I1936" s="752" t="s">
        <v>60</v>
      </c>
      <c r="J1936" s="751">
        <v>22</v>
      </c>
      <c r="K1936" s="751">
        <v>2</v>
      </c>
      <c r="L1936" s="752" t="s">
        <v>54</v>
      </c>
      <c r="M1936" s="752" t="s">
        <v>468</v>
      </c>
      <c r="N1936" s="752" t="s">
        <v>469</v>
      </c>
      <c r="O1936" s="752" t="s">
        <v>469</v>
      </c>
      <c r="P1936" s="752" t="s">
        <v>1238</v>
      </c>
      <c r="Q1936" s="753">
        <v>0</v>
      </c>
      <c r="R1936" s="753">
        <v>0</v>
      </c>
      <c r="S1936" s="753">
        <v>31725</v>
      </c>
      <c r="T1936" s="753">
        <v>31725</v>
      </c>
      <c r="U1936" s="753">
        <v>3563</v>
      </c>
      <c r="V1936" s="751">
        <v>2019</v>
      </c>
      <c r="W1936" s="222"/>
      <c r="X1936" s="186"/>
      <c r="Y1936" s="178"/>
      <c r="Z1936" s="178"/>
      <c r="AA1936" s="44"/>
      <c r="AB1936" s="65"/>
      <c r="AC1936" s="40"/>
    </row>
    <row r="1937" spans="1:29" ht="25" hidden="1">
      <c r="A1937" s="751">
        <v>62652</v>
      </c>
      <c r="B1937" s="752" t="s">
        <v>35</v>
      </c>
      <c r="C1937" s="751" t="s">
        <v>2960</v>
      </c>
      <c r="D1937" s="752" t="s">
        <v>3081</v>
      </c>
      <c r="E1937" s="752" t="s">
        <v>2650</v>
      </c>
      <c r="F1937" s="751">
        <v>62123</v>
      </c>
      <c r="G1937" s="752" t="s">
        <v>83</v>
      </c>
      <c r="H1937" s="752" t="s">
        <v>1245</v>
      </c>
      <c r="I1937" s="752" t="s">
        <v>60</v>
      </c>
      <c r="J1937" s="751">
        <v>22</v>
      </c>
      <c r="K1937" s="751">
        <v>2</v>
      </c>
      <c r="L1937" s="752" t="s">
        <v>54</v>
      </c>
      <c r="M1937" s="752" t="s">
        <v>2001</v>
      </c>
      <c r="N1937" s="752" t="s">
        <v>1107</v>
      </c>
      <c r="O1937" s="752" t="s">
        <v>84</v>
      </c>
      <c r="P1937" s="752" t="s">
        <v>2961</v>
      </c>
      <c r="Q1937" s="753">
        <v>0</v>
      </c>
      <c r="R1937" s="753">
        <v>0</v>
      </c>
      <c r="S1937" s="753">
        <v>0</v>
      </c>
      <c r="T1937" s="753">
        <v>0</v>
      </c>
      <c r="U1937" s="753">
        <v>0</v>
      </c>
      <c r="V1937" s="751">
        <v>2019</v>
      </c>
      <c r="W1937" s="222"/>
      <c r="X1937" s="186"/>
      <c r="Y1937" s="178"/>
      <c r="Z1937" s="178"/>
      <c r="AA1937" s="44"/>
      <c r="AB1937" s="65"/>
      <c r="AC1937" s="40"/>
    </row>
    <row r="1938" spans="1:29" hidden="1">
      <c r="A1938" s="751">
        <v>62652</v>
      </c>
      <c r="B1938" s="752" t="s">
        <v>35</v>
      </c>
      <c r="C1938" s="751" t="s">
        <v>2960</v>
      </c>
      <c r="D1938" s="752" t="s">
        <v>3081</v>
      </c>
      <c r="E1938" s="752" t="s">
        <v>2650</v>
      </c>
      <c r="F1938" s="751">
        <v>62123</v>
      </c>
      <c r="G1938" s="752" t="s">
        <v>83</v>
      </c>
      <c r="H1938" s="752" t="s">
        <v>1245</v>
      </c>
      <c r="I1938" s="752" t="s">
        <v>60</v>
      </c>
      <c r="J1938" s="751">
        <v>22</v>
      </c>
      <c r="K1938" s="751">
        <v>2</v>
      </c>
      <c r="L1938" s="752" t="s">
        <v>54</v>
      </c>
      <c r="M1938" s="752" t="s">
        <v>468</v>
      </c>
      <c r="N1938" s="752" t="s">
        <v>469</v>
      </c>
      <c r="O1938" s="752" t="s">
        <v>469</v>
      </c>
      <c r="P1938" s="752" t="s">
        <v>1238</v>
      </c>
      <c r="Q1938" s="753">
        <v>0</v>
      </c>
      <c r="R1938" s="753">
        <v>0</v>
      </c>
      <c r="S1938" s="753">
        <v>8762</v>
      </c>
      <c r="T1938" s="753">
        <v>8762</v>
      </c>
      <c r="U1938" s="753">
        <v>984</v>
      </c>
      <c r="V1938" s="751">
        <v>2019</v>
      </c>
      <c r="W1938" s="222"/>
      <c r="X1938" s="186"/>
      <c r="Y1938" s="178"/>
      <c r="Z1938" s="178"/>
      <c r="AA1938" s="44"/>
      <c r="AB1938" s="65"/>
      <c r="AC1938" s="40"/>
    </row>
    <row r="1939" spans="1:29" hidden="1">
      <c r="A1939" s="751">
        <v>62657</v>
      </c>
      <c r="B1939" s="752" t="s">
        <v>35</v>
      </c>
      <c r="C1939" s="751" t="s">
        <v>2960</v>
      </c>
      <c r="D1939" s="752" t="s">
        <v>3082</v>
      </c>
      <c r="E1939" s="752" t="s">
        <v>3083</v>
      </c>
      <c r="F1939" s="751">
        <v>62132</v>
      </c>
      <c r="G1939" s="752" t="s">
        <v>43</v>
      </c>
      <c r="H1939" s="752" t="s">
        <v>1245</v>
      </c>
      <c r="I1939" s="752" t="s">
        <v>60</v>
      </c>
      <c r="J1939" s="751">
        <v>22</v>
      </c>
      <c r="K1939" s="751">
        <v>2</v>
      </c>
      <c r="L1939" s="752" t="s">
        <v>54</v>
      </c>
      <c r="M1939" s="752" t="s">
        <v>468</v>
      </c>
      <c r="N1939" s="752" t="s">
        <v>469</v>
      </c>
      <c r="O1939" s="752" t="s">
        <v>469</v>
      </c>
      <c r="P1939" s="752" t="s">
        <v>1238</v>
      </c>
      <c r="Q1939" s="753">
        <v>0</v>
      </c>
      <c r="R1939" s="753">
        <v>0</v>
      </c>
      <c r="S1939" s="753">
        <v>12661</v>
      </c>
      <c r="T1939" s="753">
        <v>12661</v>
      </c>
      <c r="U1939" s="753">
        <v>1422</v>
      </c>
      <c r="V1939" s="751">
        <v>2019</v>
      </c>
      <c r="W1939" s="222"/>
      <c r="X1939" s="186"/>
      <c r="Y1939" s="178"/>
      <c r="Z1939" s="178"/>
      <c r="AA1939" s="44"/>
      <c r="AB1939" s="65"/>
      <c r="AC1939" s="40"/>
    </row>
    <row r="1940" spans="1:29" ht="25" hidden="1">
      <c r="A1940" s="751">
        <v>62672</v>
      </c>
      <c r="B1940" s="752" t="s">
        <v>35</v>
      </c>
      <c r="C1940" s="751" t="s">
        <v>2960</v>
      </c>
      <c r="D1940" s="752" t="s">
        <v>3084</v>
      </c>
      <c r="E1940" s="752" t="s">
        <v>3084</v>
      </c>
      <c r="F1940" s="751">
        <v>62149</v>
      </c>
      <c r="G1940" s="752" t="s">
        <v>136</v>
      </c>
      <c r="H1940" s="752" t="s">
        <v>1245</v>
      </c>
      <c r="I1940" s="752" t="s">
        <v>60</v>
      </c>
      <c r="J1940" s="751">
        <v>22</v>
      </c>
      <c r="K1940" s="751">
        <v>2</v>
      </c>
      <c r="L1940" s="752" t="s">
        <v>54</v>
      </c>
      <c r="M1940" s="752" t="s">
        <v>468</v>
      </c>
      <c r="N1940" s="752" t="s">
        <v>469</v>
      </c>
      <c r="O1940" s="752" t="s">
        <v>469</v>
      </c>
      <c r="P1940" s="752" t="s">
        <v>1238</v>
      </c>
      <c r="Q1940" s="753">
        <v>0</v>
      </c>
      <c r="R1940" s="753">
        <v>0</v>
      </c>
      <c r="S1940" s="753">
        <v>9144</v>
      </c>
      <c r="T1940" s="753">
        <v>9144</v>
      </c>
      <c r="U1940" s="753">
        <v>1027</v>
      </c>
      <c r="V1940" s="751">
        <v>2019</v>
      </c>
      <c r="W1940" s="222"/>
      <c r="X1940" s="186"/>
      <c r="Y1940" s="178"/>
      <c r="Z1940" s="178"/>
      <c r="AA1940" s="44"/>
      <c r="AB1940" s="65"/>
      <c r="AC1940" s="40"/>
    </row>
    <row r="1941" spans="1:29" ht="25" hidden="1">
      <c r="A1941" s="751">
        <v>62695</v>
      </c>
      <c r="B1941" s="752" t="s">
        <v>35</v>
      </c>
      <c r="C1941" s="751" t="s">
        <v>2960</v>
      </c>
      <c r="D1941" s="752" t="s">
        <v>3085</v>
      </c>
      <c r="E1941" s="752" t="s">
        <v>1189</v>
      </c>
      <c r="F1941" s="751">
        <v>56769</v>
      </c>
      <c r="G1941" s="752" t="s">
        <v>83</v>
      </c>
      <c r="H1941" s="752" t="s">
        <v>1245</v>
      </c>
      <c r="I1941" s="752" t="s">
        <v>60</v>
      </c>
      <c r="J1941" s="751">
        <v>22</v>
      </c>
      <c r="K1941" s="751">
        <v>2</v>
      </c>
      <c r="L1941" s="752" t="s">
        <v>54</v>
      </c>
      <c r="M1941" s="752" t="s">
        <v>468</v>
      </c>
      <c r="N1941" s="752" t="s">
        <v>469</v>
      </c>
      <c r="O1941" s="752" t="s">
        <v>469</v>
      </c>
      <c r="P1941" s="752" t="s">
        <v>1238</v>
      </c>
      <c r="Q1941" s="753">
        <v>0</v>
      </c>
      <c r="R1941" s="753">
        <v>0</v>
      </c>
      <c r="S1941" s="753">
        <v>0</v>
      </c>
      <c r="T1941" s="753">
        <v>0</v>
      </c>
      <c r="U1941" s="753">
        <v>0</v>
      </c>
      <c r="V1941" s="751">
        <v>2019</v>
      </c>
      <c r="W1941" s="222"/>
      <c r="X1941" s="186"/>
      <c r="Y1941" s="178"/>
      <c r="Z1941" s="178"/>
      <c r="AA1941" s="44"/>
      <c r="AB1941" s="65"/>
      <c r="AC1941" s="40"/>
    </row>
    <row r="1942" spans="1:29" ht="25" hidden="1">
      <c r="A1942" s="751">
        <v>62721</v>
      </c>
      <c r="B1942" s="752" t="s">
        <v>35</v>
      </c>
      <c r="C1942" s="751" t="s">
        <v>2960</v>
      </c>
      <c r="D1942" s="752" t="s">
        <v>3086</v>
      </c>
      <c r="E1942" s="752" t="s">
        <v>2064</v>
      </c>
      <c r="F1942" s="751">
        <v>59474</v>
      </c>
      <c r="G1942" s="752" t="s">
        <v>59</v>
      </c>
      <c r="H1942" s="752" t="s">
        <v>1244</v>
      </c>
      <c r="I1942" s="752" t="s">
        <v>60</v>
      </c>
      <c r="J1942" s="751">
        <v>22</v>
      </c>
      <c r="K1942" s="751">
        <v>2</v>
      </c>
      <c r="L1942" s="752" t="s">
        <v>54</v>
      </c>
      <c r="M1942" s="752" t="s">
        <v>468</v>
      </c>
      <c r="N1942" s="752" t="s">
        <v>469</v>
      </c>
      <c r="O1942" s="752" t="s">
        <v>469</v>
      </c>
      <c r="P1942" s="752" t="s">
        <v>1238</v>
      </c>
      <c r="Q1942" s="753">
        <v>0</v>
      </c>
      <c r="R1942" s="753">
        <v>0</v>
      </c>
      <c r="S1942" s="753">
        <v>11298</v>
      </c>
      <c r="T1942" s="753">
        <v>11298</v>
      </c>
      <c r="U1942" s="753">
        <v>1269</v>
      </c>
      <c r="V1942" s="751">
        <v>2019</v>
      </c>
      <c r="W1942" s="222"/>
      <c r="X1942" s="186"/>
      <c r="Y1942" s="178"/>
      <c r="Z1942" s="178"/>
      <c r="AA1942" s="44"/>
      <c r="AB1942" s="65"/>
      <c r="AC1942" s="40"/>
    </row>
    <row r="1943" spans="1:29" ht="25" hidden="1">
      <c r="A1943" s="751">
        <v>62722</v>
      </c>
      <c r="B1943" s="752" t="s">
        <v>35</v>
      </c>
      <c r="C1943" s="751" t="s">
        <v>2960</v>
      </c>
      <c r="D1943" s="752" t="s">
        <v>3087</v>
      </c>
      <c r="E1943" s="752" t="s">
        <v>2064</v>
      </c>
      <c r="F1943" s="751">
        <v>59474</v>
      </c>
      <c r="G1943" s="752" t="s">
        <v>59</v>
      </c>
      <c r="H1943" s="752" t="s">
        <v>1244</v>
      </c>
      <c r="I1943" s="752" t="s">
        <v>60</v>
      </c>
      <c r="J1943" s="751">
        <v>22</v>
      </c>
      <c r="K1943" s="751">
        <v>2</v>
      </c>
      <c r="L1943" s="752" t="s">
        <v>54</v>
      </c>
      <c r="M1943" s="752" t="s">
        <v>468</v>
      </c>
      <c r="N1943" s="752" t="s">
        <v>469</v>
      </c>
      <c r="O1943" s="752" t="s">
        <v>469</v>
      </c>
      <c r="P1943" s="752" t="s">
        <v>1238</v>
      </c>
      <c r="Q1943" s="753">
        <v>0</v>
      </c>
      <c r="R1943" s="753">
        <v>0</v>
      </c>
      <c r="S1943" s="753">
        <v>17620</v>
      </c>
      <c r="T1943" s="753">
        <v>17620</v>
      </c>
      <c r="U1943" s="753">
        <v>1979</v>
      </c>
      <c r="V1943" s="751">
        <v>2019</v>
      </c>
      <c r="W1943" s="222"/>
      <c r="X1943" s="186"/>
      <c r="Y1943" s="178"/>
      <c r="Z1943" s="178"/>
      <c r="AA1943" s="44"/>
      <c r="AB1943" s="65"/>
      <c r="AC1943" s="40"/>
    </row>
    <row r="1944" spans="1:29" ht="25" hidden="1">
      <c r="A1944" s="751">
        <v>62723</v>
      </c>
      <c r="B1944" s="752" t="s">
        <v>35</v>
      </c>
      <c r="C1944" s="751" t="s">
        <v>2960</v>
      </c>
      <c r="D1944" s="752" t="s">
        <v>3088</v>
      </c>
      <c r="E1944" s="752" t="s">
        <v>2064</v>
      </c>
      <c r="F1944" s="751">
        <v>59474</v>
      </c>
      <c r="G1944" s="752" t="s">
        <v>59</v>
      </c>
      <c r="H1944" s="752" t="s">
        <v>1244</v>
      </c>
      <c r="I1944" s="752" t="s">
        <v>60</v>
      </c>
      <c r="J1944" s="751">
        <v>22</v>
      </c>
      <c r="K1944" s="751">
        <v>2</v>
      </c>
      <c r="L1944" s="752" t="s">
        <v>54</v>
      </c>
      <c r="M1944" s="752" t="s">
        <v>468</v>
      </c>
      <c r="N1944" s="752" t="s">
        <v>469</v>
      </c>
      <c r="O1944" s="752" t="s">
        <v>469</v>
      </c>
      <c r="P1944" s="752" t="s">
        <v>1238</v>
      </c>
      <c r="Q1944" s="753">
        <v>0</v>
      </c>
      <c r="R1944" s="753">
        <v>0</v>
      </c>
      <c r="S1944" s="753">
        <v>17344</v>
      </c>
      <c r="T1944" s="753">
        <v>17344</v>
      </c>
      <c r="U1944" s="753">
        <v>1948</v>
      </c>
      <c r="V1944" s="751">
        <v>2019</v>
      </c>
      <c r="W1944" s="222"/>
      <c r="X1944" s="186"/>
      <c r="Y1944" s="178"/>
      <c r="Z1944" s="178"/>
      <c r="AA1944" s="44"/>
      <c r="AB1944" s="65"/>
      <c r="AC1944" s="40"/>
    </row>
    <row r="1945" spans="1:29" hidden="1">
      <c r="A1945" s="751">
        <v>62724</v>
      </c>
      <c r="B1945" s="752" t="s">
        <v>35</v>
      </c>
      <c r="C1945" s="751" t="s">
        <v>2960</v>
      </c>
      <c r="D1945" s="752" t="s">
        <v>3089</v>
      </c>
      <c r="E1945" s="752" t="s">
        <v>2064</v>
      </c>
      <c r="F1945" s="751">
        <v>59474</v>
      </c>
      <c r="G1945" s="752" t="s">
        <v>59</v>
      </c>
      <c r="H1945" s="752" t="s">
        <v>1244</v>
      </c>
      <c r="I1945" s="752" t="s">
        <v>60</v>
      </c>
      <c r="J1945" s="751">
        <v>22</v>
      </c>
      <c r="K1945" s="751">
        <v>2</v>
      </c>
      <c r="L1945" s="752" t="s">
        <v>54</v>
      </c>
      <c r="M1945" s="752" t="s">
        <v>468</v>
      </c>
      <c r="N1945" s="752" t="s">
        <v>469</v>
      </c>
      <c r="O1945" s="752" t="s">
        <v>469</v>
      </c>
      <c r="P1945" s="752" t="s">
        <v>1238</v>
      </c>
      <c r="Q1945" s="753">
        <v>0</v>
      </c>
      <c r="R1945" s="753">
        <v>0</v>
      </c>
      <c r="S1945" s="753">
        <v>13659</v>
      </c>
      <c r="T1945" s="753">
        <v>13659</v>
      </c>
      <c r="U1945" s="753">
        <v>1534</v>
      </c>
      <c r="V1945" s="751">
        <v>2019</v>
      </c>
      <c r="W1945" s="222"/>
      <c r="X1945" s="186"/>
      <c r="Y1945" s="178"/>
      <c r="Z1945" s="178"/>
      <c r="AA1945" s="44"/>
      <c r="AB1945" s="65"/>
      <c r="AC1945" s="40"/>
    </row>
    <row r="1946" spans="1:29" hidden="1">
      <c r="A1946" s="751">
        <v>62725</v>
      </c>
      <c r="B1946" s="752" t="s">
        <v>35</v>
      </c>
      <c r="C1946" s="751" t="s">
        <v>2960</v>
      </c>
      <c r="D1946" s="752" t="s">
        <v>3090</v>
      </c>
      <c r="E1946" s="752" t="s">
        <v>2064</v>
      </c>
      <c r="F1946" s="751">
        <v>59474</v>
      </c>
      <c r="G1946" s="752" t="s">
        <v>59</v>
      </c>
      <c r="H1946" s="752" t="s">
        <v>1244</v>
      </c>
      <c r="I1946" s="752" t="s">
        <v>60</v>
      </c>
      <c r="J1946" s="751">
        <v>22</v>
      </c>
      <c r="K1946" s="751">
        <v>2</v>
      </c>
      <c r="L1946" s="752" t="s">
        <v>54</v>
      </c>
      <c r="M1946" s="752" t="s">
        <v>468</v>
      </c>
      <c r="N1946" s="752" t="s">
        <v>469</v>
      </c>
      <c r="O1946" s="752" t="s">
        <v>469</v>
      </c>
      <c r="P1946" s="752" t="s">
        <v>1238</v>
      </c>
      <c r="Q1946" s="753">
        <v>0</v>
      </c>
      <c r="R1946" s="753">
        <v>0</v>
      </c>
      <c r="S1946" s="753">
        <v>13846</v>
      </c>
      <c r="T1946" s="753">
        <v>13846</v>
      </c>
      <c r="U1946" s="753">
        <v>1555</v>
      </c>
      <c r="V1946" s="751">
        <v>2019</v>
      </c>
      <c r="W1946" s="222"/>
      <c r="X1946" s="186"/>
      <c r="Y1946" s="178"/>
      <c r="Z1946" s="178"/>
      <c r="AA1946" s="44"/>
      <c r="AB1946" s="65"/>
      <c r="AC1946" s="40"/>
    </row>
    <row r="1947" spans="1:29" hidden="1">
      <c r="A1947" s="751">
        <v>62728</v>
      </c>
      <c r="B1947" s="752" t="s">
        <v>35</v>
      </c>
      <c r="C1947" s="751" t="s">
        <v>2960</v>
      </c>
      <c r="D1947" s="752" t="s">
        <v>3091</v>
      </c>
      <c r="E1947" s="752" t="s">
        <v>3092</v>
      </c>
      <c r="F1947" s="751">
        <v>60531</v>
      </c>
      <c r="G1947" s="752" t="s">
        <v>91</v>
      </c>
      <c r="H1947" s="752" t="s">
        <v>1245</v>
      </c>
      <c r="I1947" s="752" t="s">
        <v>60</v>
      </c>
      <c r="J1947" s="751">
        <v>22</v>
      </c>
      <c r="K1947" s="751">
        <v>2</v>
      </c>
      <c r="L1947" s="752" t="s">
        <v>54</v>
      </c>
      <c r="M1947" s="752" t="s">
        <v>468</v>
      </c>
      <c r="N1947" s="752" t="s">
        <v>469</v>
      </c>
      <c r="O1947" s="752" t="s">
        <v>469</v>
      </c>
      <c r="P1947" s="752" t="s">
        <v>1238</v>
      </c>
      <c r="Q1947" s="753">
        <v>0</v>
      </c>
      <c r="R1947" s="753">
        <v>0</v>
      </c>
      <c r="S1947" s="753">
        <v>0</v>
      </c>
      <c r="T1947" s="753">
        <v>0</v>
      </c>
      <c r="U1947" s="753">
        <v>0</v>
      </c>
      <c r="V1947" s="751">
        <v>2019</v>
      </c>
      <c r="W1947" s="222"/>
      <c r="X1947" s="186"/>
      <c r="Y1947" s="178"/>
      <c r="Z1947" s="178"/>
      <c r="AA1947" s="44"/>
      <c r="AB1947" s="65"/>
      <c r="AC1947" s="40"/>
    </row>
    <row r="1948" spans="1:29" ht="25" hidden="1">
      <c r="A1948" s="751">
        <v>62733</v>
      </c>
      <c r="B1948" s="752" t="s">
        <v>35</v>
      </c>
      <c r="C1948" s="751" t="s">
        <v>2960</v>
      </c>
      <c r="D1948" s="752" t="s">
        <v>3093</v>
      </c>
      <c r="E1948" s="752" t="s">
        <v>3094</v>
      </c>
      <c r="F1948" s="751">
        <v>62652</v>
      </c>
      <c r="G1948" s="752" t="s">
        <v>59</v>
      </c>
      <c r="H1948" s="752" t="s">
        <v>1244</v>
      </c>
      <c r="I1948" s="752" t="s">
        <v>60</v>
      </c>
      <c r="J1948" s="751">
        <v>22</v>
      </c>
      <c r="K1948" s="751">
        <v>2</v>
      </c>
      <c r="L1948" s="752" t="s">
        <v>54</v>
      </c>
      <c r="M1948" s="752" t="s">
        <v>2001</v>
      </c>
      <c r="N1948" s="752" t="s">
        <v>1107</v>
      </c>
      <c r="O1948" s="752" t="s">
        <v>84</v>
      </c>
      <c r="P1948" s="752" t="s">
        <v>2961</v>
      </c>
      <c r="Q1948" s="753">
        <v>5494</v>
      </c>
      <c r="R1948" s="753">
        <v>5494</v>
      </c>
      <c r="S1948" s="753">
        <v>0</v>
      </c>
      <c r="T1948" s="753">
        <v>0</v>
      </c>
      <c r="U1948" s="753">
        <v>-477</v>
      </c>
      <c r="V1948" s="751">
        <v>2019</v>
      </c>
      <c r="W1948" s="222"/>
      <c r="X1948" s="186"/>
      <c r="Y1948" s="178"/>
      <c r="Z1948" s="178"/>
      <c r="AA1948" s="44"/>
      <c r="AB1948" s="65"/>
      <c r="AC1948" s="40"/>
    </row>
    <row r="1949" spans="1:29" ht="25" hidden="1">
      <c r="A1949" s="751">
        <v>62734</v>
      </c>
      <c r="B1949" s="752" t="s">
        <v>35</v>
      </c>
      <c r="C1949" s="751" t="s">
        <v>2960</v>
      </c>
      <c r="D1949" s="752" t="s">
        <v>3095</v>
      </c>
      <c r="E1949" s="752" t="s">
        <v>3096</v>
      </c>
      <c r="F1949" s="751">
        <v>62651</v>
      </c>
      <c r="G1949" s="752" t="s">
        <v>59</v>
      </c>
      <c r="H1949" s="752" t="s">
        <v>1244</v>
      </c>
      <c r="I1949" s="752" t="s">
        <v>60</v>
      </c>
      <c r="J1949" s="751">
        <v>22</v>
      </c>
      <c r="K1949" s="751">
        <v>2</v>
      </c>
      <c r="L1949" s="752" t="s">
        <v>54</v>
      </c>
      <c r="M1949" s="752" t="s">
        <v>2001</v>
      </c>
      <c r="N1949" s="752" t="s">
        <v>1107</v>
      </c>
      <c r="O1949" s="752" t="s">
        <v>84</v>
      </c>
      <c r="P1949" s="752" t="s">
        <v>2961</v>
      </c>
      <c r="Q1949" s="753">
        <v>3733</v>
      </c>
      <c r="R1949" s="753">
        <v>3733</v>
      </c>
      <c r="S1949" s="753">
        <v>0</v>
      </c>
      <c r="T1949" s="753">
        <v>0</v>
      </c>
      <c r="U1949" s="753">
        <v>-716</v>
      </c>
      <c r="V1949" s="751">
        <v>2019</v>
      </c>
      <c r="W1949" s="222"/>
      <c r="X1949" s="186"/>
      <c r="Y1949" s="178"/>
      <c r="Z1949" s="178"/>
      <c r="AA1949" s="44"/>
      <c r="AB1949" s="65"/>
      <c r="AC1949" s="40"/>
    </row>
    <row r="1950" spans="1:29" hidden="1">
      <c r="A1950" s="751">
        <v>62736</v>
      </c>
      <c r="B1950" s="752" t="s">
        <v>56</v>
      </c>
      <c r="C1950" s="751" t="s">
        <v>2960</v>
      </c>
      <c r="D1950" s="752" t="s">
        <v>3097</v>
      </c>
      <c r="E1950" s="752" t="s">
        <v>3097</v>
      </c>
      <c r="F1950" s="751">
        <v>62657</v>
      </c>
      <c r="G1950" s="752" t="s">
        <v>59</v>
      </c>
      <c r="H1950" s="752" t="s">
        <v>1244</v>
      </c>
      <c r="I1950" s="752" t="s">
        <v>60</v>
      </c>
      <c r="J1950" s="751">
        <v>326</v>
      </c>
      <c r="K1950" s="751">
        <v>7</v>
      </c>
      <c r="L1950" s="752" t="s">
        <v>419</v>
      </c>
      <c r="M1950" s="752" t="s">
        <v>52</v>
      </c>
      <c r="N1950" s="752" t="s">
        <v>41</v>
      </c>
      <c r="O1950" s="752" t="s">
        <v>41</v>
      </c>
      <c r="P1950" s="752" t="s">
        <v>1091</v>
      </c>
      <c r="Q1950" s="753">
        <v>6009</v>
      </c>
      <c r="R1950" s="753">
        <v>3988</v>
      </c>
      <c r="S1950" s="753">
        <v>6202</v>
      </c>
      <c r="T1950" s="753">
        <v>4116</v>
      </c>
      <c r="U1950" s="753">
        <v>362</v>
      </c>
      <c r="V1950" s="751">
        <v>2019</v>
      </c>
      <c r="W1950" s="222"/>
      <c r="X1950" s="186"/>
      <c r="Y1950" s="178"/>
      <c r="Z1950" s="178"/>
      <c r="AA1950" s="44"/>
      <c r="AB1950" s="65"/>
      <c r="AC1950" s="40"/>
    </row>
    <row r="1951" spans="1:29" hidden="1">
      <c r="A1951" s="751">
        <v>62736</v>
      </c>
      <c r="B1951" s="752" t="s">
        <v>56</v>
      </c>
      <c r="C1951" s="751" t="s">
        <v>2960</v>
      </c>
      <c r="D1951" s="752" t="s">
        <v>3097</v>
      </c>
      <c r="E1951" s="752" t="s">
        <v>3097</v>
      </c>
      <c r="F1951" s="751">
        <v>62657</v>
      </c>
      <c r="G1951" s="752" t="s">
        <v>59</v>
      </c>
      <c r="H1951" s="752" t="s">
        <v>1244</v>
      </c>
      <c r="I1951" s="752" t="s">
        <v>60</v>
      </c>
      <c r="J1951" s="751">
        <v>326</v>
      </c>
      <c r="K1951" s="751">
        <v>7</v>
      </c>
      <c r="L1951" s="752" t="s">
        <v>419</v>
      </c>
      <c r="M1951" s="752" t="s">
        <v>73</v>
      </c>
      <c r="N1951" s="752" t="s">
        <v>74</v>
      </c>
      <c r="O1951" s="752" t="s">
        <v>74</v>
      </c>
      <c r="P1951" s="752" t="s">
        <v>1238</v>
      </c>
      <c r="Q1951" s="753">
        <v>0</v>
      </c>
      <c r="R1951" s="753">
        <v>0</v>
      </c>
      <c r="S1951" s="753">
        <v>1273</v>
      </c>
      <c r="T1951" s="753">
        <v>1273</v>
      </c>
      <c r="U1951" s="753">
        <v>143</v>
      </c>
      <c r="V1951" s="751">
        <v>2019</v>
      </c>
      <c r="W1951" s="222"/>
      <c r="X1951" s="186"/>
      <c r="Y1951" s="178"/>
      <c r="Z1951" s="178"/>
      <c r="AA1951" s="44"/>
      <c r="AB1951" s="65"/>
      <c r="AC1951" s="40"/>
    </row>
    <row r="1952" spans="1:29" hidden="1">
      <c r="A1952" s="751">
        <v>62759</v>
      </c>
      <c r="B1952" s="752" t="s">
        <v>35</v>
      </c>
      <c r="C1952" s="751" t="s">
        <v>2960</v>
      </c>
      <c r="D1952" s="752" t="s">
        <v>3098</v>
      </c>
      <c r="E1952" s="752" t="s">
        <v>3099</v>
      </c>
      <c r="F1952" s="751">
        <v>62674</v>
      </c>
      <c r="G1952" s="752" t="s">
        <v>59</v>
      </c>
      <c r="H1952" s="752" t="s">
        <v>1244</v>
      </c>
      <c r="I1952" s="752" t="s">
        <v>60</v>
      </c>
      <c r="J1952" s="751">
        <v>22</v>
      </c>
      <c r="K1952" s="751">
        <v>2</v>
      </c>
      <c r="L1952" s="752" t="s">
        <v>54</v>
      </c>
      <c r="M1952" s="752" t="s">
        <v>468</v>
      </c>
      <c r="N1952" s="752" t="s">
        <v>469</v>
      </c>
      <c r="O1952" s="752" t="s">
        <v>469</v>
      </c>
      <c r="P1952" s="752" t="s">
        <v>1238</v>
      </c>
      <c r="Q1952" s="753">
        <v>0</v>
      </c>
      <c r="R1952" s="753">
        <v>0</v>
      </c>
      <c r="S1952" s="753">
        <v>6554</v>
      </c>
      <c r="T1952" s="753">
        <v>6554</v>
      </c>
      <c r="U1952" s="753">
        <v>736</v>
      </c>
      <c r="V1952" s="751">
        <v>2019</v>
      </c>
      <c r="W1952" s="222"/>
      <c r="X1952" s="186"/>
      <c r="Y1952" s="178"/>
      <c r="Z1952" s="178"/>
      <c r="AA1952" s="44"/>
      <c r="AB1952" s="65"/>
      <c r="AC1952" s="40"/>
    </row>
    <row r="1953" spans="1:29" hidden="1">
      <c r="A1953" s="751">
        <v>62760</v>
      </c>
      <c r="B1953" s="752" t="s">
        <v>35</v>
      </c>
      <c r="C1953" s="751" t="s">
        <v>2960</v>
      </c>
      <c r="D1953" s="752" t="s">
        <v>3100</v>
      </c>
      <c r="E1953" s="752" t="s">
        <v>3101</v>
      </c>
      <c r="F1953" s="751">
        <v>62673</v>
      </c>
      <c r="G1953" s="752" t="s">
        <v>83</v>
      </c>
      <c r="H1953" s="752" t="s">
        <v>1245</v>
      </c>
      <c r="I1953" s="752" t="s">
        <v>60</v>
      </c>
      <c r="J1953" s="751">
        <v>22</v>
      </c>
      <c r="K1953" s="751">
        <v>2</v>
      </c>
      <c r="L1953" s="752" t="s">
        <v>54</v>
      </c>
      <c r="M1953" s="752" t="s">
        <v>468</v>
      </c>
      <c r="N1953" s="752" t="s">
        <v>469</v>
      </c>
      <c r="O1953" s="752" t="s">
        <v>469</v>
      </c>
      <c r="P1953" s="752" t="s">
        <v>1238</v>
      </c>
      <c r="Q1953" s="753">
        <v>0</v>
      </c>
      <c r="R1953" s="753">
        <v>0</v>
      </c>
      <c r="S1953" s="753">
        <v>16064</v>
      </c>
      <c r="T1953" s="753">
        <v>16064</v>
      </c>
      <c r="U1953" s="753">
        <v>1804</v>
      </c>
      <c r="V1953" s="751">
        <v>2019</v>
      </c>
      <c r="W1953" s="222"/>
      <c r="X1953" s="186"/>
      <c r="Y1953" s="178"/>
      <c r="Z1953" s="178"/>
      <c r="AA1953" s="44"/>
      <c r="AB1953" s="65"/>
      <c r="AC1953" s="40"/>
    </row>
    <row r="1954" spans="1:29" hidden="1">
      <c r="A1954" s="751">
        <v>62761</v>
      </c>
      <c r="B1954" s="752" t="s">
        <v>35</v>
      </c>
      <c r="C1954" s="751" t="s">
        <v>2960</v>
      </c>
      <c r="D1954" s="752" t="s">
        <v>3102</v>
      </c>
      <c r="E1954" s="752" t="s">
        <v>3103</v>
      </c>
      <c r="F1954" s="751">
        <v>62671</v>
      </c>
      <c r="G1954" s="752" t="s">
        <v>59</v>
      </c>
      <c r="H1954" s="752" t="s">
        <v>1244</v>
      </c>
      <c r="I1954" s="752" t="s">
        <v>60</v>
      </c>
      <c r="J1954" s="751">
        <v>22</v>
      </c>
      <c r="K1954" s="751">
        <v>2</v>
      </c>
      <c r="L1954" s="752" t="s">
        <v>54</v>
      </c>
      <c r="M1954" s="752" t="s">
        <v>468</v>
      </c>
      <c r="N1954" s="752" t="s">
        <v>469</v>
      </c>
      <c r="O1954" s="752" t="s">
        <v>469</v>
      </c>
      <c r="P1954" s="752" t="s">
        <v>1238</v>
      </c>
      <c r="Q1954" s="753">
        <v>0</v>
      </c>
      <c r="R1954" s="753">
        <v>0</v>
      </c>
      <c r="S1954" s="753">
        <v>10808</v>
      </c>
      <c r="T1954" s="753">
        <v>10808</v>
      </c>
      <c r="U1954" s="753">
        <v>1214</v>
      </c>
      <c r="V1954" s="751">
        <v>2019</v>
      </c>
      <c r="W1954" s="222"/>
      <c r="X1954" s="186"/>
      <c r="Y1954" s="178"/>
      <c r="Z1954" s="178"/>
      <c r="AA1954" s="44"/>
      <c r="AB1954" s="65"/>
      <c r="AC1954" s="40"/>
    </row>
    <row r="1955" spans="1:29" hidden="1">
      <c r="A1955" s="751">
        <v>62763</v>
      </c>
      <c r="B1955" s="752" t="s">
        <v>35</v>
      </c>
      <c r="C1955" s="751" t="s">
        <v>2960</v>
      </c>
      <c r="D1955" s="752" t="s">
        <v>3104</v>
      </c>
      <c r="E1955" s="752" t="s">
        <v>3105</v>
      </c>
      <c r="F1955" s="751">
        <v>62670</v>
      </c>
      <c r="G1955" s="752" t="s">
        <v>83</v>
      </c>
      <c r="H1955" s="752" t="s">
        <v>1245</v>
      </c>
      <c r="I1955" s="752" t="s">
        <v>60</v>
      </c>
      <c r="J1955" s="751">
        <v>22</v>
      </c>
      <c r="K1955" s="751">
        <v>2</v>
      </c>
      <c r="L1955" s="752" t="s">
        <v>54</v>
      </c>
      <c r="M1955" s="752" t="s">
        <v>468</v>
      </c>
      <c r="N1955" s="752" t="s">
        <v>469</v>
      </c>
      <c r="O1955" s="752" t="s">
        <v>469</v>
      </c>
      <c r="P1955" s="752" t="s">
        <v>1238</v>
      </c>
      <c r="Q1955" s="753">
        <v>0</v>
      </c>
      <c r="R1955" s="753">
        <v>0</v>
      </c>
      <c r="S1955" s="753">
        <v>12876</v>
      </c>
      <c r="T1955" s="753">
        <v>12876</v>
      </c>
      <c r="U1955" s="753">
        <v>1446</v>
      </c>
      <c r="V1955" s="751">
        <v>2019</v>
      </c>
      <c r="W1955" s="222"/>
      <c r="X1955" s="186"/>
      <c r="Y1955" s="178"/>
      <c r="Z1955" s="178"/>
      <c r="AA1955" s="44"/>
      <c r="AB1955" s="65"/>
      <c r="AC1955" s="40"/>
    </row>
    <row r="1956" spans="1:29" hidden="1">
      <c r="A1956" s="751">
        <v>62764</v>
      </c>
      <c r="B1956" s="752" t="s">
        <v>35</v>
      </c>
      <c r="C1956" s="751" t="s">
        <v>2960</v>
      </c>
      <c r="D1956" s="752" t="s">
        <v>3106</v>
      </c>
      <c r="E1956" s="752" t="s">
        <v>3107</v>
      </c>
      <c r="F1956" s="751">
        <v>62669</v>
      </c>
      <c r="G1956" s="752" t="s">
        <v>59</v>
      </c>
      <c r="H1956" s="752" t="s">
        <v>1244</v>
      </c>
      <c r="I1956" s="752" t="s">
        <v>60</v>
      </c>
      <c r="J1956" s="751">
        <v>22</v>
      </c>
      <c r="K1956" s="751">
        <v>2</v>
      </c>
      <c r="L1956" s="752" t="s">
        <v>54</v>
      </c>
      <c r="M1956" s="752" t="s">
        <v>468</v>
      </c>
      <c r="N1956" s="752" t="s">
        <v>469</v>
      </c>
      <c r="O1956" s="752" t="s">
        <v>469</v>
      </c>
      <c r="P1956" s="752" t="s">
        <v>1238</v>
      </c>
      <c r="Q1956" s="753">
        <v>0</v>
      </c>
      <c r="R1956" s="753">
        <v>0</v>
      </c>
      <c r="S1956" s="753">
        <v>18867</v>
      </c>
      <c r="T1956" s="753">
        <v>18867</v>
      </c>
      <c r="U1956" s="753">
        <v>2119</v>
      </c>
      <c r="V1956" s="751">
        <v>2019</v>
      </c>
      <c r="W1956" s="222"/>
      <c r="X1956" s="186"/>
      <c r="Y1956" s="178"/>
      <c r="Z1956" s="178"/>
      <c r="AA1956" s="44"/>
      <c r="AB1956" s="65"/>
      <c r="AC1956" s="40"/>
    </row>
    <row r="1957" spans="1:29" hidden="1">
      <c r="A1957" s="751">
        <v>62777</v>
      </c>
      <c r="B1957" s="752" t="s">
        <v>35</v>
      </c>
      <c r="C1957" s="751" t="s">
        <v>2960</v>
      </c>
      <c r="D1957" s="752" t="s">
        <v>2651</v>
      </c>
      <c r="E1957" s="752" t="s">
        <v>2652</v>
      </c>
      <c r="F1957" s="751">
        <v>62684</v>
      </c>
      <c r="G1957" s="752" t="s">
        <v>59</v>
      </c>
      <c r="H1957" s="752" t="s">
        <v>1244</v>
      </c>
      <c r="I1957" s="752" t="s">
        <v>60</v>
      </c>
      <c r="J1957" s="751">
        <v>22</v>
      </c>
      <c r="K1957" s="751">
        <v>2</v>
      </c>
      <c r="L1957" s="752" t="s">
        <v>54</v>
      </c>
      <c r="M1957" s="752" t="s">
        <v>468</v>
      </c>
      <c r="N1957" s="752" t="s">
        <v>469</v>
      </c>
      <c r="O1957" s="752" t="s">
        <v>469</v>
      </c>
      <c r="P1957" s="752" t="s">
        <v>1238</v>
      </c>
      <c r="Q1957" s="753">
        <v>0</v>
      </c>
      <c r="R1957" s="753">
        <v>0</v>
      </c>
      <c r="S1957" s="753">
        <v>22358</v>
      </c>
      <c r="T1957" s="753">
        <v>22358</v>
      </c>
      <c r="U1957" s="753">
        <v>2511</v>
      </c>
      <c r="V1957" s="751">
        <v>2019</v>
      </c>
      <c r="W1957" s="222"/>
      <c r="X1957" s="186"/>
      <c r="Y1957" s="178"/>
      <c r="Z1957" s="178"/>
      <c r="AA1957" s="44"/>
      <c r="AB1957" s="65"/>
      <c r="AC1957" s="40"/>
    </row>
    <row r="1958" spans="1:29" hidden="1">
      <c r="A1958" s="751">
        <v>62784</v>
      </c>
      <c r="B1958" s="752" t="s">
        <v>35</v>
      </c>
      <c r="C1958" s="751" t="s">
        <v>2960</v>
      </c>
      <c r="D1958" s="752" t="s">
        <v>2653</v>
      </c>
      <c r="E1958" s="752" t="s">
        <v>2654</v>
      </c>
      <c r="F1958" s="751">
        <v>62688</v>
      </c>
      <c r="G1958" s="752" t="s">
        <v>59</v>
      </c>
      <c r="H1958" s="752" t="s">
        <v>1244</v>
      </c>
      <c r="I1958" s="752" t="s">
        <v>60</v>
      </c>
      <c r="J1958" s="751">
        <v>22</v>
      </c>
      <c r="K1958" s="751">
        <v>2</v>
      </c>
      <c r="L1958" s="752" t="s">
        <v>54</v>
      </c>
      <c r="M1958" s="752" t="s">
        <v>468</v>
      </c>
      <c r="N1958" s="752" t="s">
        <v>469</v>
      </c>
      <c r="O1958" s="752" t="s">
        <v>469</v>
      </c>
      <c r="P1958" s="752" t="s">
        <v>1238</v>
      </c>
      <c r="Q1958" s="753">
        <v>0</v>
      </c>
      <c r="R1958" s="753">
        <v>0</v>
      </c>
      <c r="S1958" s="753">
        <v>18422</v>
      </c>
      <c r="T1958" s="753">
        <v>18422</v>
      </c>
      <c r="U1958" s="753">
        <v>2069</v>
      </c>
      <c r="V1958" s="751">
        <v>2019</v>
      </c>
      <c r="W1958" s="222"/>
      <c r="X1958" s="186"/>
      <c r="Y1958" s="178"/>
      <c r="Z1958" s="178"/>
      <c r="AA1958" s="44"/>
      <c r="AB1958" s="65"/>
      <c r="AC1958" s="40"/>
    </row>
    <row r="1959" spans="1:29" hidden="1">
      <c r="A1959" s="751">
        <v>62785</v>
      </c>
      <c r="B1959" s="752" t="s">
        <v>35</v>
      </c>
      <c r="C1959" s="751" t="s">
        <v>2960</v>
      </c>
      <c r="D1959" s="752" t="s">
        <v>2655</v>
      </c>
      <c r="E1959" s="752" t="s">
        <v>2654</v>
      </c>
      <c r="F1959" s="751">
        <v>62688</v>
      </c>
      <c r="G1959" s="752" t="s">
        <v>59</v>
      </c>
      <c r="H1959" s="752" t="s">
        <v>1244</v>
      </c>
      <c r="I1959" s="752" t="s">
        <v>60</v>
      </c>
      <c r="J1959" s="751">
        <v>22</v>
      </c>
      <c r="K1959" s="751">
        <v>2</v>
      </c>
      <c r="L1959" s="752" t="s">
        <v>54</v>
      </c>
      <c r="M1959" s="752" t="s">
        <v>468</v>
      </c>
      <c r="N1959" s="752" t="s">
        <v>469</v>
      </c>
      <c r="O1959" s="752" t="s">
        <v>469</v>
      </c>
      <c r="P1959" s="752" t="s">
        <v>1238</v>
      </c>
      <c r="Q1959" s="753">
        <v>0</v>
      </c>
      <c r="R1959" s="753">
        <v>0</v>
      </c>
      <c r="S1959" s="753">
        <v>12662</v>
      </c>
      <c r="T1959" s="753">
        <v>12662</v>
      </c>
      <c r="U1959" s="753">
        <v>1422</v>
      </c>
      <c r="V1959" s="751">
        <v>2019</v>
      </c>
      <c r="W1959" s="222"/>
      <c r="X1959" s="186"/>
      <c r="Y1959" s="178"/>
      <c r="Z1959" s="178"/>
      <c r="AA1959" s="44"/>
      <c r="AB1959" s="65"/>
      <c r="AC1959" s="40"/>
    </row>
    <row r="1960" spans="1:29" ht="25" hidden="1">
      <c r="A1960" s="751">
        <v>62788</v>
      </c>
      <c r="B1960" s="752" t="s">
        <v>35</v>
      </c>
      <c r="C1960" s="751" t="s">
        <v>2960</v>
      </c>
      <c r="D1960" s="752" t="s">
        <v>3108</v>
      </c>
      <c r="E1960" s="752" t="s">
        <v>3092</v>
      </c>
      <c r="F1960" s="751">
        <v>60531</v>
      </c>
      <c r="G1960" s="752" t="s">
        <v>59</v>
      </c>
      <c r="H1960" s="752" t="s">
        <v>1244</v>
      </c>
      <c r="I1960" s="752" t="s">
        <v>60</v>
      </c>
      <c r="J1960" s="751">
        <v>22</v>
      </c>
      <c r="K1960" s="751">
        <v>2</v>
      </c>
      <c r="L1960" s="752" t="s">
        <v>54</v>
      </c>
      <c r="M1960" s="752" t="s">
        <v>468</v>
      </c>
      <c r="N1960" s="752" t="s">
        <v>469</v>
      </c>
      <c r="O1960" s="752" t="s">
        <v>469</v>
      </c>
      <c r="P1960" s="752" t="s">
        <v>1238</v>
      </c>
      <c r="Q1960" s="753">
        <v>0</v>
      </c>
      <c r="R1960" s="753">
        <v>0</v>
      </c>
      <c r="S1960" s="753">
        <v>7533</v>
      </c>
      <c r="T1960" s="753">
        <v>7533</v>
      </c>
      <c r="U1960" s="753">
        <v>846</v>
      </c>
      <c r="V1960" s="751">
        <v>2019</v>
      </c>
      <c r="W1960" s="222"/>
      <c r="X1960" s="186"/>
      <c r="Y1960" s="178"/>
      <c r="Z1960" s="178"/>
      <c r="AA1960" s="44"/>
      <c r="AB1960" s="65"/>
      <c r="AC1960" s="40"/>
    </row>
    <row r="1961" spans="1:29" hidden="1">
      <c r="A1961" s="751">
        <v>62810</v>
      </c>
      <c r="B1961" s="752" t="s">
        <v>35</v>
      </c>
      <c r="C1961" s="751" t="s">
        <v>2960</v>
      </c>
      <c r="D1961" s="752" t="s">
        <v>2656</v>
      </c>
      <c r="E1961" s="752" t="s">
        <v>2656</v>
      </c>
      <c r="F1961" s="751">
        <v>62678</v>
      </c>
      <c r="G1961" s="752" t="s">
        <v>59</v>
      </c>
      <c r="H1961" s="752" t="s">
        <v>1244</v>
      </c>
      <c r="I1961" s="752" t="s">
        <v>60</v>
      </c>
      <c r="J1961" s="751">
        <v>22</v>
      </c>
      <c r="K1961" s="751">
        <v>2</v>
      </c>
      <c r="L1961" s="752" t="s">
        <v>54</v>
      </c>
      <c r="M1961" s="752" t="s">
        <v>468</v>
      </c>
      <c r="N1961" s="752" t="s">
        <v>469</v>
      </c>
      <c r="O1961" s="752" t="s">
        <v>469</v>
      </c>
      <c r="P1961" s="752" t="s">
        <v>1238</v>
      </c>
      <c r="Q1961" s="753">
        <v>0</v>
      </c>
      <c r="R1961" s="753">
        <v>0</v>
      </c>
      <c r="S1961" s="753">
        <v>21690</v>
      </c>
      <c r="T1961" s="753">
        <v>21690</v>
      </c>
      <c r="U1961" s="753">
        <v>2436</v>
      </c>
      <c r="V1961" s="751">
        <v>2019</v>
      </c>
      <c r="W1961" s="222"/>
      <c r="X1961" s="186"/>
      <c r="Y1961" s="178"/>
      <c r="Z1961" s="178"/>
      <c r="AA1961" s="44"/>
      <c r="AB1961" s="65"/>
      <c r="AC1961" s="40"/>
    </row>
    <row r="1962" spans="1:29" hidden="1">
      <c r="A1962" s="751">
        <v>62824</v>
      </c>
      <c r="B1962" s="752" t="s">
        <v>35</v>
      </c>
      <c r="C1962" s="751" t="s">
        <v>2960</v>
      </c>
      <c r="D1962" s="752" t="s">
        <v>3109</v>
      </c>
      <c r="E1962" s="752" t="s">
        <v>3110</v>
      </c>
      <c r="F1962" s="751">
        <v>62719</v>
      </c>
      <c r="G1962" s="752" t="s">
        <v>83</v>
      </c>
      <c r="H1962" s="752" t="s">
        <v>1245</v>
      </c>
      <c r="I1962" s="752" t="s">
        <v>60</v>
      </c>
      <c r="J1962" s="751">
        <v>22</v>
      </c>
      <c r="K1962" s="751">
        <v>2</v>
      </c>
      <c r="L1962" s="752" t="s">
        <v>54</v>
      </c>
      <c r="M1962" s="752" t="s">
        <v>468</v>
      </c>
      <c r="N1962" s="752" t="s">
        <v>469</v>
      </c>
      <c r="O1962" s="752" t="s">
        <v>469</v>
      </c>
      <c r="P1962" s="752" t="s">
        <v>1238</v>
      </c>
      <c r="Q1962" s="753">
        <v>0</v>
      </c>
      <c r="R1962" s="753">
        <v>0</v>
      </c>
      <c r="S1962" s="753">
        <v>18059</v>
      </c>
      <c r="T1962" s="753">
        <v>18059</v>
      </c>
      <c r="U1962" s="753">
        <v>2028</v>
      </c>
      <c r="V1962" s="751">
        <v>2019</v>
      </c>
      <c r="W1962" s="222"/>
      <c r="X1962" s="186"/>
      <c r="Y1962" s="178"/>
      <c r="Z1962" s="178"/>
      <c r="AA1962" s="44"/>
      <c r="AB1962" s="65"/>
      <c r="AC1962" s="40"/>
    </row>
    <row r="1963" spans="1:29" ht="25" hidden="1">
      <c r="A1963" s="751">
        <v>62825</v>
      </c>
      <c r="B1963" s="752" t="s">
        <v>35</v>
      </c>
      <c r="C1963" s="751" t="s">
        <v>2960</v>
      </c>
      <c r="D1963" s="752" t="s">
        <v>3111</v>
      </c>
      <c r="E1963" s="752" t="s">
        <v>3110</v>
      </c>
      <c r="F1963" s="751">
        <v>62719</v>
      </c>
      <c r="G1963" s="752" t="s">
        <v>83</v>
      </c>
      <c r="H1963" s="752" t="s">
        <v>1245</v>
      </c>
      <c r="I1963" s="752" t="s">
        <v>60</v>
      </c>
      <c r="J1963" s="751">
        <v>22</v>
      </c>
      <c r="K1963" s="751">
        <v>2</v>
      </c>
      <c r="L1963" s="752" t="s">
        <v>54</v>
      </c>
      <c r="M1963" s="752" t="s">
        <v>468</v>
      </c>
      <c r="N1963" s="752" t="s">
        <v>469</v>
      </c>
      <c r="O1963" s="752" t="s">
        <v>469</v>
      </c>
      <c r="P1963" s="752" t="s">
        <v>1238</v>
      </c>
      <c r="Q1963" s="753">
        <v>0</v>
      </c>
      <c r="R1963" s="753">
        <v>0</v>
      </c>
      <c r="S1963" s="753">
        <v>48047</v>
      </c>
      <c r="T1963" s="753">
        <v>48047</v>
      </c>
      <c r="U1963" s="753">
        <v>5396</v>
      </c>
      <c r="V1963" s="751">
        <v>2019</v>
      </c>
      <c r="W1963" s="222"/>
      <c r="X1963" s="186"/>
      <c r="Y1963" s="178"/>
      <c r="Z1963" s="178"/>
      <c r="AA1963" s="44"/>
      <c r="AB1963" s="65"/>
      <c r="AC1963" s="40"/>
    </row>
    <row r="1964" spans="1:29" hidden="1">
      <c r="A1964" s="751">
        <v>62826</v>
      </c>
      <c r="B1964" s="752" t="s">
        <v>35</v>
      </c>
      <c r="C1964" s="751" t="s">
        <v>2960</v>
      </c>
      <c r="D1964" s="752" t="s">
        <v>3112</v>
      </c>
      <c r="E1964" s="752" t="s">
        <v>3110</v>
      </c>
      <c r="F1964" s="751">
        <v>62719</v>
      </c>
      <c r="G1964" s="752" t="s">
        <v>83</v>
      </c>
      <c r="H1964" s="752" t="s">
        <v>1245</v>
      </c>
      <c r="I1964" s="752" t="s">
        <v>60</v>
      </c>
      <c r="J1964" s="751">
        <v>22</v>
      </c>
      <c r="K1964" s="751">
        <v>2</v>
      </c>
      <c r="L1964" s="752" t="s">
        <v>54</v>
      </c>
      <c r="M1964" s="752" t="s">
        <v>468</v>
      </c>
      <c r="N1964" s="752" t="s">
        <v>469</v>
      </c>
      <c r="O1964" s="752" t="s">
        <v>469</v>
      </c>
      <c r="P1964" s="752" t="s">
        <v>1238</v>
      </c>
      <c r="Q1964" s="753">
        <v>0</v>
      </c>
      <c r="R1964" s="753">
        <v>0</v>
      </c>
      <c r="S1964" s="753">
        <v>3134</v>
      </c>
      <c r="T1964" s="753">
        <v>3134</v>
      </c>
      <c r="U1964" s="753">
        <v>352</v>
      </c>
      <c r="V1964" s="751">
        <v>2019</v>
      </c>
      <c r="W1964" s="222"/>
      <c r="X1964" s="186"/>
      <c r="Y1964" s="178"/>
      <c r="Z1964" s="178"/>
      <c r="AA1964" s="44"/>
      <c r="AB1964" s="65"/>
      <c r="AC1964" s="40"/>
    </row>
    <row r="1965" spans="1:29" hidden="1">
      <c r="A1965" s="751">
        <v>62827</v>
      </c>
      <c r="B1965" s="752" t="s">
        <v>35</v>
      </c>
      <c r="C1965" s="751" t="s">
        <v>2960</v>
      </c>
      <c r="D1965" s="752" t="s">
        <v>3113</v>
      </c>
      <c r="E1965" s="752" t="s">
        <v>3110</v>
      </c>
      <c r="F1965" s="751">
        <v>62719</v>
      </c>
      <c r="G1965" s="752" t="s">
        <v>83</v>
      </c>
      <c r="H1965" s="752" t="s">
        <v>1245</v>
      </c>
      <c r="I1965" s="752" t="s">
        <v>60</v>
      </c>
      <c r="J1965" s="751">
        <v>22</v>
      </c>
      <c r="K1965" s="751">
        <v>2</v>
      </c>
      <c r="L1965" s="752" t="s">
        <v>54</v>
      </c>
      <c r="M1965" s="752" t="s">
        <v>468</v>
      </c>
      <c r="N1965" s="752" t="s">
        <v>469</v>
      </c>
      <c r="O1965" s="752" t="s">
        <v>469</v>
      </c>
      <c r="P1965" s="752" t="s">
        <v>1238</v>
      </c>
      <c r="Q1965" s="753">
        <v>0</v>
      </c>
      <c r="R1965" s="753">
        <v>0</v>
      </c>
      <c r="S1965" s="753">
        <v>8309</v>
      </c>
      <c r="T1965" s="753">
        <v>8309</v>
      </c>
      <c r="U1965" s="753">
        <v>933</v>
      </c>
      <c r="V1965" s="751">
        <v>2019</v>
      </c>
      <c r="W1965" s="222"/>
      <c r="X1965" s="186"/>
      <c r="Y1965" s="178"/>
      <c r="Z1965" s="178"/>
      <c r="AA1965" s="44"/>
      <c r="AB1965" s="65"/>
      <c r="AC1965" s="40"/>
    </row>
    <row r="1966" spans="1:29" hidden="1">
      <c r="A1966" s="751">
        <v>62834</v>
      </c>
      <c r="B1966" s="752" t="s">
        <v>35</v>
      </c>
      <c r="C1966" s="751" t="s">
        <v>2960</v>
      </c>
      <c r="D1966" s="752" t="s">
        <v>3114</v>
      </c>
      <c r="E1966" s="752" t="s">
        <v>3115</v>
      </c>
      <c r="F1966" s="751">
        <v>63179</v>
      </c>
      <c r="G1966" s="752" t="s">
        <v>59</v>
      </c>
      <c r="H1966" s="752" t="s">
        <v>1244</v>
      </c>
      <c r="I1966" s="752" t="s">
        <v>60</v>
      </c>
      <c r="J1966" s="751">
        <v>22</v>
      </c>
      <c r="K1966" s="751">
        <v>2</v>
      </c>
      <c r="L1966" s="752" t="s">
        <v>54</v>
      </c>
      <c r="M1966" s="752" t="s">
        <v>468</v>
      </c>
      <c r="N1966" s="752" t="s">
        <v>469</v>
      </c>
      <c r="O1966" s="752" t="s">
        <v>469</v>
      </c>
      <c r="P1966" s="752" t="s">
        <v>1238</v>
      </c>
      <c r="Q1966" s="753">
        <v>0</v>
      </c>
      <c r="R1966" s="753">
        <v>0</v>
      </c>
      <c r="S1966" s="753">
        <v>9751</v>
      </c>
      <c r="T1966" s="753">
        <v>9751</v>
      </c>
      <c r="U1966" s="753">
        <v>1095</v>
      </c>
      <c r="V1966" s="751">
        <v>2019</v>
      </c>
      <c r="W1966" s="222"/>
      <c r="X1966" s="186"/>
      <c r="Y1966" s="178"/>
      <c r="Z1966" s="178"/>
      <c r="AA1966" s="44"/>
      <c r="AB1966" s="65"/>
      <c r="AC1966" s="40"/>
    </row>
    <row r="1967" spans="1:29" ht="25" hidden="1">
      <c r="A1967" s="751">
        <v>62835</v>
      </c>
      <c r="B1967" s="752" t="s">
        <v>35</v>
      </c>
      <c r="C1967" s="751" t="s">
        <v>2960</v>
      </c>
      <c r="D1967" s="752" t="s">
        <v>3116</v>
      </c>
      <c r="E1967" s="752" t="s">
        <v>3117</v>
      </c>
      <c r="F1967" s="751">
        <v>63332</v>
      </c>
      <c r="G1967" s="752" t="s">
        <v>83</v>
      </c>
      <c r="H1967" s="752" t="s">
        <v>1245</v>
      </c>
      <c r="I1967" s="752" t="s">
        <v>60</v>
      </c>
      <c r="J1967" s="751">
        <v>339</v>
      </c>
      <c r="K1967" s="751">
        <v>6</v>
      </c>
      <c r="L1967" s="752" t="s">
        <v>420</v>
      </c>
      <c r="M1967" s="752" t="s">
        <v>2001</v>
      </c>
      <c r="N1967" s="752" t="s">
        <v>1107</v>
      </c>
      <c r="O1967" s="752" t="s">
        <v>84</v>
      </c>
      <c r="P1967" s="752" t="s">
        <v>2961</v>
      </c>
      <c r="Q1967" s="753">
        <v>4873</v>
      </c>
      <c r="R1967" s="753">
        <v>4873</v>
      </c>
      <c r="S1967" s="753">
        <v>0</v>
      </c>
      <c r="T1967" s="753">
        <v>0</v>
      </c>
      <c r="U1967" s="753">
        <v>-1607</v>
      </c>
      <c r="V1967" s="751">
        <v>2019</v>
      </c>
      <c r="W1967" s="222"/>
      <c r="X1967" s="186"/>
      <c r="Y1967" s="178"/>
      <c r="Z1967" s="178"/>
      <c r="AA1967" s="44"/>
      <c r="AB1967" s="65"/>
      <c r="AC1967" s="40"/>
    </row>
    <row r="1968" spans="1:29" hidden="1">
      <c r="A1968" s="751">
        <v>62842</v>
      </c>
      <c r="B1968" s="752" t="s">
        <v>35</v>
      </c>
      <c r="C1968" s="751" t="s">
        <v>2960</v>
      </c>
      <c r="D1968" s="752" t="s">
        <v>3118</v>
      </c>
      <c r="E1968" s="752" t="s">
        <v>3119</v>
      </c>
      <c r="F1968" s="751">
        <v>62727</v>
      </c>
      <c r="G1968" s="752" t="s">
        <v>83</v>
      </c>
      <c r="H1968" s="752" t="s">
        <v>1245</v>
      </c>
      <c r="I1968" s="752" t="s">
        <v>60</v>
      </c>
      <c r="J1968" s="751">
        <v>22</v>
      </c>
      <c r="K1968" s="751">
        <v>2</v>
      </c>
      <c r="L1968" s="752" t="s">
        <v>54</v>
      </c>
      <c r="M1968" s="752" t="s">
        <v>468</v>
      </c>
      <c r="N1968" s="752" t="s">
        <v>469</v>
      </c>
      <c r="O1968" s="752" t="s">
        <v>469</v>
      </c>
      <c r="P1968" s="752" t="s">
        <v>1238</v>
      </c>
      <c r="Q1968" s="753">
        <v>0</v>
      </c>
      <c r="R1968" s="753">
        <v>0</v>
      </c>
      <c r="S1968" s="753">
        <v>51465</v>
      </c>
      <c r="T1968" s="753">
        <v>51465</v>
      </c>
      <c r="U1968" s="753">
        <v>5780</v>
      </c>
      <c r="V1968" s="751">
        <v>2019</v>
      </c>
      <c r="W1968" s="222"/>
      <c r="X1968" s="186"/>
      <c r="Y1968" s="178"/>
      <c r="Z1968" s="178"/>
      <c r="AA1968" s="44"/>
      <c r="AB1968" s="65"/>
      <c r="AC1968" s="40"/>
    </row>
    <row r="1969" spans="1:29" hidden="1">
      <c r="A1969" s="751">
        <v>62843</v>
      </c>
      <c r="B1969" s="752" t="s">
        <v>35</v>
      </c>
      <c r="C1969" s="751" t="s">
        <v>2960</v>
      </c>
      <c r="D1969" s="752" t="s">
        <v>3120</v>
      </c>
      <c r="E1969" s="752" t="s">
        <v>2154</v>
      </c>
      <c r="F1969" s="751">
        <v>60571</v>
      </c>
      <c r="G1969" s="752" t="s">
        <v>59</v>
      </c>
      <c r="H1969" s="752" t="s">
        <v>1244</v>
      </c>
      <c r="I1969" s="752" t="s">
        <v>60</v>
      </c>
      <c r="J1969" s="751">
        <v>22</v>
      </c>
      <c r="K1969" s="751">
        <v>2</v>
      </c>
      <c r="L1969" s="752" t="s">
        <v>54</v>
      </c>
      <c r="M1969" s="752" t="s">
        <v>468</v>
      </c>
      <c r="N1969" s="752" t="s">
        <v>469</v>
      </c>
      <c r="O1969" s="752" t="s">
        <v>469</v>
      </c>
      <c r="P1969" s="752" t="s">
        <v>1238</v>
      </c>
      <c r="Q1969" s="753">
        <v>0</v>
      </c>
      <c r="R1969" s="753">
        <v>0</v>
      </c>
      <c r="S1969" s="753">
        <v>24984</v>
      </c>
      <c r="T1969" s="753">
        <v>24984</v>
      </c>
      <c r="U1969" s="753">
        <v>2806</v>
      </c>
      <c r="V1969" s="751">
        <v>2019</v>
      </c>
      <c r="W1969" s="222"/>
      <c r="X1969" s="186"/>
      <c r="Y1969" s="178"/>
      <c r="Z1969" s="178"/>
      <c r="AA1969" s="44"/>
      <c r="AB1969" s="65"/>
      <c r="AC1969" s="40"/>
    </row>
    <row r="1970" spans="1:29" ht="25" hidden="1">
      <c r="A1970" s="751">
        <v>62859</v>
      </c>
      <c r="B1970" s="752" t="s">
        <v>35</v>
      </c>
      <c r="C1970" s="751" t="s">
        <v>2960</v>
      </c>
      <c r="D1970" s="752" t="s">
        <v>3121</v>
      </c>
      <c r="E1970" s="752" t="s">
        <v>1102</v>
      </c>
      <c r="F1970" s="751">
        <v>20151</v>
      </c>
      <c r="G1970" s="752" t="s">
        <v>91</v>
      </c>
      <c r="H1970" s="752" t="s">
        <v>1245</v>
      </c>
      <c r="I1970" s="752" t="s">
        <v>60</v>
      </c>
      <c r="J1970" s="751">
        <v>22</v>
      </c>
      <c r="K1970" s="751">
        <v>1</v>
      </c>
      <c r="L1970" s="752" t="s">
        <v>36</v>
      </c>
      <c r="M1970" s="752" t="s">
        <v>53</v>
      </c>
      <c r="N1970" s="752" t="s">
        <v>65</v>
      </c>
      <c r="O1970" s="752" t="s">
        <v>66</v>
      </c>
      <c r="P1970" s="752" t="s">
        <v>1091</v>
      </c>
      <c r="Q1970" s="753">
        <v>1410481</v>
      </c>
      <c r="R1970" s="753">
        <v>1410481</v>
      </c>
      <c r="S1970" s="753">
        <v>516236</v>
      </c>
      <c r="T1970" s="753">
        <v>516236</v>
      </c>
      <c r="U1970" s="753">
        <v>55727</v>
      </c>
      <c r="V1970" s="751">
        <v>2019</v>
      </c>
      <c r="W1970" s="222"/>
      <c r="X1970" s="186"/>
      <c r="Y1970" s="178"/>
      <c r="Z1970" s="178"/>
      <c r="AA1970" s="44"/>
      <c r="AB1970" s="65"/>
      <c r="AC1970" s="40"/>
    </row>
    <row r="1971" spans="1:29" hidden="1">
      <c r="A1971" s="751">
        <v>62870</v>
      </c>
      <c r="B1971" s="752" t="s">
        <v>35</v>
      </c>
      <c r="C1971" s="751" t="s">
        <v>2960</v>
      </c>
      <c r="D1971" s="752" t="s">
        <v>3122</v>
      </c>
      <c r="E1971" s="752" t="s">
        <v>3123</v>
      </c>
      <c r="F1971" s="751">
        <v>62739</v>
      </c>
      <c r="G1971" s="752" t="s">
        <v>83</v>
      </c>
      <c r="H1971" s="752" t="s">
        <v>1245</v>
      </c>
      <c r="I1971" s="752" t="s">
        <v>60</v>
      </c>
      <c r="J1971" s="751">
        <v>22</v>
      </c>
      <c r="K1971" s="751">
        <v>2</v>
      </c>
      <c r="L1971" s="752" t="s">
        <v>54</v>
      </c>
      <c r="M1971" s="752" t="s">
        <v>468</v>
      </c>
      <c r="N1971" s="752" t="s">
        <v>469</v>
      </c>
      <c r="O1971" s="752" t="s">
        <v>469</v>
      </c>
      <c r="P1971" s="752" t="s">
        <v>1238</v>
      </c>
      <c r="Q1971" s="753">
        <v>0</v>
      </c>
      <c r="R1971" s="753">
        <v>0</v>
      </c>
      <c r="S1971" s="753">
        <v>2306</v>
      </c>
      <c r="T1971" s="753">
        <v>2306</v>
      </c>
      <c r="U1971" s="753">
        <v>259</v>
      </c>
      <c r="V1971" s="751">
        <v>2019</v>
      </c>
      <c r="W1971" s="222"/>
      <c r="X1971" s="186"/>
      <c r="Y1971" s="178"/>
      <c r="Z1971" s="178"/>
      <c r="AA1971" s="44"/>
      <c r="AB1971" s="65"/>
      <c r="AC1971" s="40"/>
    </row>
    <row r="1972" spans="1:29" hidden="1">
      <c r="A1972" s="751">
        <v>62890</v>
      </c>
      <c r="B1972" s="752" t="s">
        <v>35</v>
      </c>
      <c r="C1972" s="751" t="s">
        <v>2960</v>
      </c>
      <c r="D1972" s="752" t="s">
        <v>3124</v>
      </c>
      <c r="E1972" s="752" t="s">
        <v>3125</v>
      </c>
      <c r="F1972" s="751">
        <v>62762</v>
      </c>
      <c r="G1972" s="752" t="s">
        <v>83</v>
      </c>
      <c r="H1972" s="752" t="s">
        <v>1245</v>
      </c>
      <c r="I1972" s="752" t="s">
        <v>60</v>
      </c>
      <c r="J1972" s="751">
        <v>22</v>
      </c>
      <c r="K1972" s="751">
        <v>2</v>
      </c>
      <c r="L1972" s="752" t="s">
        <v>54</v>
      </c>
      <c r="M1972" s="752" t="s">
        <v>468</v>
      </c>
      <c r="N1972" s="752" t="s">
        <v>469</v>
      </c>
      <c r="O1972" s="752" t="s">
        <v>469</v>
      </c>
      <c r="P1972" s="752" t="s">
        <v>1238</v>
      </c>
      <c r="Q1972" s="753">
        <v>0</v>
      </c>
      <c r="R1972" s="753">
        <v>0</v>
      </c>
      <c r="S1972" s="753">
        <v>48972</v>
      </c>
      <c r="T1972" s="753">
        <v>48972</v>
      </c>
      <c r="U1972" s="753">
        <v>5500</v>
      </c>
      <c r="V1972" s="751">
        <v>2019</v>
      </c>
      <c r="W1972" s="222"/>
      <c r="X1972" s="186"/>
      <c r="Y1972" s="178"/>
      <c r="Z1972" s="178"/>
      <c r="AA1972" s="44"/>
      <c r="AB1972" s="65"/>
      <c r="AC1972" s="40"/>
    </row>
    <row r="1973" spans="1:29" ht="25" hidden="1">
      <c r="A1973" s="751">
        <v>62897</v>
      </c>
      <c r="B1973" s="752" t="s">
        <v>35</v>
      </c>
      <c r="C1973" s="751" t="s">
        <v>2960</v>
      </c>
      <c r="D1973" s="752" t="s">
        <v>3126</v>
      </c>
      <c r="E1973" s="752" t="s">
        <v>2470</v>
      </c>
      <c r="F1973" s="751">
        <v>60025</v>
      </c>
      <c r="G1973" s="752" t="s">
        <v>83</v>
      </c>
      <c r="H1973" s="752" t="s">
        <v>1245</v>
      </c>
      <c r="I1973" s="752" t="s">
        <v>60</v>
      </c>
      <c r="J1973" s="751">
        <v>22</v>
      </c>
      <c r="K1973" s="751">
        <v>2</v>
      </c>
      <c r="L1973" s="752" t="s">
        <v>54</v>
      </c>
      <c r="M1973" s="752" t="s">
        <v>73</v>
      </c>
      <c r="N1973" s="752" t="s">
        <v>74</v>
      </c>
      <c r="O1973" s="752" t="s">
        <v>74</v>
      </c>
      <c r="P1973" s="752" t="s">
        <v>1238</v>
      </c>
      <c r="Q1973" s="753">
        <v>0</v>
      </c>
      <c r="R1973" s="753">
        <v>0</v>
      </c>
      <c r="S1973" s="753">
        <v>1238</v>
      </c>
      <c r="T1973" s="753">
        <v>1238</v>
      </c>
      <c r="U1973" s="753">
        <v>139</v>
      </c>
      <c r="V1973" s="751">
        <v>2019</v>
      </c>
      <c r="W1973" s="222"/>
      <c r="X1973" s="186"/>
      <c r="Y1973" s="178"/>
      <c r="Z1973" s="178"/>
      <c r="AA1973" s="44"/>
      <c r="AB1973" s="65"/>
      <c r="AC1973" s="40"/>
    </row>
    <row r="1974" spans="1:29" ht="25" hidden="1">
      <c r="A1974" s="751">
        <v>62907</v>
      </c>
      <c r="B1974" s="752" t="s">
        <v>35</v>
      </c>
      <c r="C1974" s="751" t="s">
        <v>2960</v>
      </c>
      <c r="D1974" s="752" t="s">
        <v>3127</v>
      </c>
      <c r="E1974" s="752" t="s">
        <v>3128</v>
      </c>
      <c r="F1974" s="751">
        <v>61522</v>
      </c>
      <c r="G1974" s="752" t="s">
        <v>91</v>
      </c>
      <c r="H1974" s="752" t="s">
        <v>1245</v>
      </c>
      <c r="I1974" s="752" t="s">
        <v>60</v>
      </c>
      <c r="J1974" s="751">
        <v>22</v>
      </c>
      <c r="K1974" s="751">
        <v>2</v>
      </c>
      <c r="L1974" s="752" t="s">
        <v>54</v>
      </c>
      <c r="M1974" s="752" t="s">
        <v>2001</v>
      </c>
      <c r="N1974" s="752" t="s">
        <v>1107</v>
      </c>
      <c r="O1974" s="752" t="s">
        <v>84</v>
      </c>
      <c r="P1974" s="752" t="s">
        <v>2961</v>
      </c>
      <c r="Q1974" s="753">
        <v>449</v>
      </c>
      <c r="R1974" s="753">
        <v>449</v>
      </c>
      <c r="S1974" s="753">
        <v>0</v>
      </c>
      <c r="T1974" s="753">
        <v>0</v>
      </c>
      <c r="U1974" s="753">
        <v>-34</v>
      </c>
      <c r="V1974" s="751">
        <v>2019</v>
      </c>
      <c r="W1974" s="222"/>
      <c r="X1974" s="186"/>
      <c r="Y1974" s="178"/>
      <c r="Z1974" s="178"/>
      <c r="AA1974" s="44"/>
      <c r="AB1974" s="65"/>
      <c r="AC1974" s="40"/>
    </row>
    <row r="1975" spans="1:29" hidden="1">
      <c r="A1975" s="751">
        <v>62911</v>
      </c>
      <c r="B1975" s="752" t="s">
        <v>35</v>
      </c>
      <c r="C1975" s="751" t="s">
        <v>2960</v>
      </c>
      <c r="D1975" s="752" t="s">
        <v>3129</v>
      </c>
      <c r="E1975" s="752" t="s">
        <v>3130</v>
      </c>
      <c r="F1975" s="751">
        <v>62773</v>
      </c>
      <c r="G1975" s="752" t="s">
        <v>83</v>
      </c>
      <c r="H1975" s="752" t="s">
        <v>1245</v>
      </c>
      <c r="I1975" s="752" t="s">
        <v>60</v>
      </c>
      <c r="J1975" s="751">
        <v>22</v>
      </c>
      <c r="K1975" s="751">
        <v>2</v>
      </c>
      <c r="L1975" s="752" t="s">
        <v>54</v>
      </c>
      <c r="M1975" s="752" t="s">
        <v>468</v>
      </c>
      <c r="N1975" s="752" t="s">
        <v>469</v>
      </c>
      <c r="O1975" s="752" t="s">
        <v>469</v>
      </c>
      <c r="P1975" s="752" t="s">
        <v>1238</v>
      </c>
      <c r="Q1975" s="753">
        <v>0</v>
      </c>
      <c r="R1975" s="753">
        <v>0</v>
      </c>
      <c r="S1975" s="753">
        <v>26409</v>
      </c>
      <c r="T1975" s="753">
        <v>26409</v>
      </c>
      <c r="U1975" s="753">
        <v>2966</v>
      </c>
      <c r="V1975" s="751">
        <v>2019</v>
      </c>
      <c r="W1975" s="222"/>
      <c r="X1975" s="186"/>
      <c r="Y1975" s="178"/>
      <c r="Z1975" s="178"/>
      <c r="AA1975" s="44"/>
      <c r="AB1975" s="65"/>
      <c r="AC1975" s="40"/>
    </row>
    <row r="1976" spans="1:29" hidden="1">
      <c r="A1976" s="751">
        <v>62920</v>
      </c>
      <c r="B1976" s="752" t="s">
        <v>56</v>
      </c>
      <c r="C1976" s="751" t="s">
        <v>2960</v>
      </c>
      <c r="D1976" s="752" t="s">
        <v>3131</v>
      </c>
      <c r="E1976" s="752" t="s">
        <v>3131</v>
      </c>
      <c r="F1976" s="751">
        <v>62777</v>
      </c>
      <c r="G1976" s="752" t="s">
        <v>59</v>
      </c>
      <c r="H1976" s="752" t="s">
        <v>1244</v>
      </c>
      <c r="I1976" s="752" t="s">
        <v>60</v>
      </c>
      <c r="J1976" s="751">
        <v>22</v>
      </c>
      <c r="K1976" s="751">
        <v>3</v>
      </c>
      <c r="L1976" s="752" t="s">
        <v>57</v>
      </c>
      <c r="M1976" s="752" t="s">
        <v>53</v>
      </c>
      <c r="N1976" s="752" t="s">
        <v>41</v>
      </c>
      <c r="O1976" s="752" t="s">
        <v>41</v>
      </c>
      <c r="P1976" s="752" t="s">
        <v>1091</v>
      </c>
      <c r="Q1976" s="753">
        <v>155464</v>
      </c>
      <c r="R1976" s="753">
        <v>155464</v>
      </c>
      <c r="S1976" s="753">
        <v>155464</v>
      </c>
      <c r="T1976" s="753">
        <v>155464</v>
      </c>
      <c r="U1976" s="753">
        <v>14963</v>
      </c>
      <c r="V1976" s="751">
        <v>2019</v>
      </c>
      <c r="W1976" s="222"/>
      <c r="X1976" s="186"/>
      <c r="Y1976" s="178"/>
      <c r="Z1976" s="178"/>
      <c r="AA1976" s="44"/>
      <c r="AB1976" s="65"/>
      <c r="AC1976" s="40"/>
    </row>
    <row r="1977" spans="1:29" hidden="1">
      <c r="A1977" s="751">
        <v>62975</v>
      </c>
      <c r="B1977" s="752" t="s">
        <v>35</v>
      </c>
      <c r="C1977" s="751" t="s">
        <v>2960</v>
      </c>
      <c r="D1977" s="752" t="s">
        <v>3132</v>
      </c>
      <c r="E1977" s="752" t="s">
        <v>3133</v>
      </c>
      <c r="F1977" s="751">
        <v>62822</v>
      </c>
      <c r="G1977" s="752" t="s">
        <v>83</v>
      </c>
      <c r="H1977" s="752" t="s">
        <v>1245</v>
      </c>
      <c r="I1977" s="752" t="s">
        <v>60</v>
      </c>
      <c r="J1977" s="751">
        <v>22</v>
      </c>
      <c r="K1977" s="751">
        <v>2</v>
      </c>
      <c r="L1977" s="752" t="s">
        <v>54</v>
      </c>
      <c r="M1977" s="752" t="s">
        <v>468</v>
      </c>
      <c r="N1977" s="752" t="s">
        <v>469</v>
      </c>
      <c r="O1977" s="752" t="s">
        <v>469</v>
      </c>
      <c r="P1977" s="752" t="s">
        <v>1238</v>
      </c>
      <c r="Q1977" s="753">
        <v>0</v>
      </c>
      <c r="R1977" s="753">
        <v>0</v>
      </c>
      <c r="S1977" s="753">
        <v>0</v>
      </c>
      <c r="T1977" s="753">
        <v>0</v>
      </c>
      <c r="U1977" s="753">
        <v>0</v>
      </c>
      <c r="V1977" s="751">
        <v>2019</v>
      </c>
      <c r="W1977" s="222"/>
      <c r="X1977" s="186"/>
      <c r="Y1977" s="178"/>
      <c r="Z1977" s="178"/>
      <c r="AA1977" s="44"/>
      <c r="AB1977" s="65"/>
      <c r="AC1977" s="40"/>
    </row>
    <row r="1978" spans="1:29" ht="25" hidden="1">
      <c r="A1978" s="751">
        <v>62981</v>
      </c>
      <c r="B1978" s="752" t="s">
        <v>35</v>
      </c>
      <c r="C1978" s="751" t="s">
        <v>2960</v>
      </c>
      <c r="D1978" s="752" t="s">
        <v>3134</v>
      </c>
      <c r="E1978" s="752" t="s">
        <v>3135</v>
      </c>
      <c r="F1978" s="751">
        <v>56404</v>
      </c>
      <c r="G1978" s="752" t="s">
        <v>59</v>
      </c>
      <c r="H1978" s="752" t="s">
        <v>1244</v>
      </c>
      <c r="I1978" s="752" t="s">
        <v>60</v>
      </c>
      <c r="J1978" s="751">
        <v>22</v>
      </c>
      <c r="K1978" s="751">
        <v>1</v>
      </c>
      <c r="L1978" s="752" t="s">
        <v>36</v>
      </c>
      <c r="M1978" s="752" t="s">
        <v>2001</v>
      </c>
      <c r="N1978" s="752" t="s">
        <v>1107</v>
      </c>
      <c r="O1978" s="752" t="s">
        <v>84</v>
      </c>
      <c r="P1978" s="752" t="s">
        <v>2961</v>
      </c>
      <c r="Q1978" s="753">
        <v>403</v>
      </c>
      <c r="R1978" s="753">
        <v>403</v>
      </c>
      <c r="S1978" s="753">
        <v>0</v>
      </c>
      <c r="T1978" s="753">
        <v>0</v>
      </c>
      <c r="U1978" s="753">
        <v>-284</v>
      </c>
      <c r="V1978" s="751">
        <v>2019</v>
      </c>
      <c r="W1978" s="222"/>
      <c r="X1978" s="186"/>
      <c r="Y1978" s="178"/>
      <c r="Z1978" s="178"/>
      <c r="AA1978" s="44"/>
      <c r="AB1978" s="65"/>
      <c r="AC1978" s="40"/>
    </row>
    <row r="1979" spans="1:29" hidden="1">
      <c r="A1979" s="751">
        <v>62992</v>
      </c>
      <c r="B1979" s="752" t="s">
        <v>35</v>
      </c>
      <c r="C1979" s="751" t="s">
        <v>2960</v>
      </c>
      <c r="D1979" s="752" t="s">
        <v>3136</v>
      </c>
      <c r="E1979" s="752" t="s">
        <v>3137</v>
      </c>
      <c r="F1979" s="751">
        <v>62838</v>
      </c>
      <c r="G1979" s="752" t="s">
        <v>83</v>
      </c>
      <c r="H1979" s="752" t="s">
        <v>1245</v>
      </c>
      <c r="I1979" s="752" t="s">
        <v>60</v>
      </c>
      <c r="J1979" s="751">
        <v>22</v>
      </c>
      <c r="K1979" s="751">
        <v>2</v>
      </c>
      <c r="L1979" s="752" t="s">
        <v>54</v>
      </c>
      <c r="M1979" s="752" t="s">
        <v>468</v>
      </c>
      <c r="N1979" s="752" t="s">
        <v>469</v>
      </c>
      <c r="O1979" s="752" t="s">
        <v>469</v>
      </c>
      <c r="P1979" s="752" t="s">
        <v>1238</v>
      </c>
      <c r="Q1979" s="753">
        <v>0</v>
      </c>
      <c r="R1979" s="753">
        <v>0</v>
      </c>
      <c r="S1979" s="753">
        <v>65827</v>
      </c>
      <c r="T1979" s="753">
        <v>65827</v>
      </c>
      <c r="U1979" s="753">
        <v>7393</v>
      </c>
      <c r="V1979" s="751">
        <v>2019</v>
      </c>
      <c r="W1979" s="222"/>
      <c r="X1979" s="186"/>
      <c r="Y1979" s="178"/>
      <c r="Z1979" s="178"/>
      <c r="AA1979" s="44"/>
      <c r="AB1979" s="65"/>
      <c r="AC1979" s="40"/>
    </row>
    <row r="1980" spans="1:29" hidden="1">
      <c r="A1980" s="751">
        <v>62998</v>
      </c>
      <c r="B1980" s="752" t="s">
        <v>35</v>
      </c>
      <c r="C1980" s="751" t="s">
        <v>2960</v>
      </c>
      <c r="D1980" s="752" t="s">
        <v>3138</v>
      </c>
      <c r="E1980" s="752" t="s">
        <v>2340</v>
      </c>
      <c r="F1980" s="751">
        <v>61012</v>
      </c>
      <c r="G1980" s="752" t="s">
        <v>59</v>
      </c>
      <c r="H1980" s="752" t="s">
        <v>1244</v>
      </c>
      <c r="I1980" s="752" t="s">
        <v>60</v>
      </c>
      <c r="J1980" s="751">
        <v>22</v>
      </c>
      <c r="K1980" s="751">
        <v>2</v>
      </c>
      <c r="L1980" s="752" t="s">
        <v>54</v>
      </c>
      <c r="M1980" s="752" t="s">
        <v>468</v>
      </c>
      <c r="N1980" s="752" t="s">
        <v>469</v>
      </c>
      <c r="O1980" s="752" t="s">
        <v>469</v>
      </c>
      <c r="P1980" s="752" t="s">
        <v>1238</v>
      </c>
      <c r="Q1980" s="753">
        <v>0</v>
      </c>
      <c r="R1980" s="753">
        <v>0</v>
      </c>
      <c r="S1980" s="753">
        <v>0</v>
      </c>
      <c r="T1980" s="753">
        <v>0</v>
      </c>
      <c r="U1980" s="753">
        <v>0</v>
      </c>
      <c r="V1980" s="751">
        <v>2019</v>
      </c>
      <c r="W1980" s="222"/>
      <c r="X1980" s="186"/>
      <c r="Y1980" s="178"/>
      <c r="Z1980" s="178"/>
      <c r="AA1980" s="44"/>
      <c r="AB1980" s="65"/>
      <c r="AC1980" s="40"/>
    </row>
    <row r="1981" spans="1:29" hidden="1">
      <c r="A1981" s="751">
        <v>62999</v>
      </c>
      <c r="B1981" s="752" t="s">
        <v>35</v>
      </c>
      <c r="C1981" s="751" t="s">
        <v>2960</v>
      </c>
      <c r="D1981" s="752" t="s">
        <v>3139</v>
      </c>
      <c r="E1981" s="752" t="s">
        <v>2340</v>
      </c>
      <c r="F1981" s="751">
        <v>61012</v>
      </c>
      <c r="G1981" s="752" t="s">
        <v>59</v>
      </c>
      <c r="H1981" s="752" t="s">
        <v>1244</v>
      </c>
      <c r="I1981" s="752" t="s">
        <v>60</v>
      </c>
      <c r="J1981" s="751">
        <v>22</v>
      </c>
      <c r="K1981" s="751">
        <v>2</v>
      </c>
      <c r="L1981" s="752" t="s">
        <v>54</v>
      </c>
      <c r="M1981" s="752" t="s">
        <v>468</v>
      </c>
      <c r="N1981" s="752" t="s">
        <v>469</v>
      </c>
      <c r="O1981" s="752" t="s">
        <v>469</v>
      </c>
      <c r="P1981" s="752" t="s">
        <v>1238</v>
      </c>
      <c r="Q1981" s="753">
        <v>0</v>
      </c>
      <c r="R1981" s="753">
        <v>0</v>
      </c>
      <c r="S1981" s="753">
        <v>0</v>
      </c>
      <c r="T1981" s="753">
        <v>0</v>
      </c>
      <c r="U1981" s="753">
        <v>0</v>
      </c>
      <c r="V1981" s="751">
        <v>2019</v>
      </c>
      <c r="W1981" s="222"/>
      <c r="X1981" s="186"/>
      <c r="Y1981" s="178"/>
      <c r="Z1981" s="178"/>
      <c r="AA1981" s="44"/>
      <c r="AB1981" s="65"/>
      <c r="AC1981" s="40"/>
    </row>
    <row r="1982" spans="1:29" hidden="1">
      <c r="A1982" s="751">
        <v>63000</v>
      </c>
      <c r="B1982" s="752" t="s">
        <v>35</v>
      </c>
      <c r="C1982" s="751" t="s">
        <v>2960</v>
      </c>
      <c r="D1982" s="752" t="s">
        <v>3140</v>
      </c>
      <c r="E1982" s="752" t="s">
        <v>2340</v>
      </c>
      <c r="F1982" s="751">
        <v>61012</v>
      </c>
      <c r="G1982" s="752" t="s">
        <v>59</v>
      </c>
      <c r="H1982" s="752" t="s">
        <v>1244</v>
      </c>
      <c r="I1982" s="752" t="s">
        <v>60</v>
      </c>
      <c r="J1982" s="751">
        <v>22</v>
      </c>
      <c r="K1982" s="751">
        <v>2</v>
      </c>
      <c r="L1982" s="752" t="s">
        <v>54</v>
      </c>
      <c r="M1982" s="752" t="s">
        <v>468</v>
      </c>
      <c r="N1982" s="752" t="s">
        <v>469</v>
      </c>
      <c r="O1982" s="752" t="s">
        <v>469</v>
      </c>
      <c r="P1982" s="752" t="s">
        <v>1238</v>
      </c>
      <c r="Q1982" s="753">
        <v>0</v>
      </c>
      <c r="R1982" s="753">
        <v>0</v>
      </c>
      <c r="S1982" s="753">
        <v>0</v>
      </c>
      <c r="T1982" s="753">
        <v>0</v>
      </c>
      <c r="U1982" s="753">
        <v>0</v>
      </c>
      <c r="V1982" s="751">
        <v>2019</v>
      </c>
      <c r="W1982" s="222"/>
      <c r="X1982" s="186"/>
      <c r="Y1982" s="178"/>
      <c r="Z1982" s="178"/>
      <c r="AA1982" s="44"/>
      <c r="AB1982" s="65"/>
      <c r="AC1982" s="40"/>
    </row>
    <row r="1983" spans="1:29" hidden="1">
      <c r="A1983" s="751">
        <v>63012</v>
      </c>
      <c r="B1983" s="752" t="s">
        <v>35</v>
      </c>
      <c r="C1983" s="751" t="s">
        <v>2960</v>
      </c>
      <c r="D1983" s="752" t="s">
        <v>3141</v>
      </c>
      <c r="E1983" s="752" t="s">
        <v>2340</v>
      </c>
      <c r="F1983" s="751">
        <v>61012</v>
      </c>
      <c r="G1983" s="752" t="s">
        <v>59</v>
      </c>
      <c r="H1983" s="752" t="s">
        <v>1244</v>
      </c>
      <c r="I1983" s="752" t="s">
        <v>60</v>
      </c>
      <c r="J1983" s="751">
        <v>22</v>
      </c>
      <c r="K1983" s="751">
        <v>2</v>
      </c>
      <c r="L1983" s="752" t="s">
        <v>54</v>
      </c>
      <c r="M1983" s="752" t="s">
        <v>468</v>
      </c>
      <c r="N1983" s="752" t="s">
        <v>469</v>
      </c>
      <c r="O1983" s="752" t="s">
        <v>469</v>
      </c>
      <c r="P1983" s="752" t="s">
        <v>1238</v>
      </c>
      <c r="Q1983" s="753">
        <v>0</v>
      </c>
      <c r="R1983" s="753">
        <v>0</v>
      </c>
      <c r="S1983" s="753">
        <v>0</v>
      </c>
      <c r="T1983" s="753">
        <v>0</v>
      </c>
      <c r="U1983" s="753">
        <v>0</v>
      </c>
      <c r="V1983" s="751">
        <v>2019</v>
      </c>
      <c r="W1983" s="222"/>
      <c r="X1983" s="186"/>
      <c r="Y1983" s="178"/>
      <c r="Z1983" s="178"/>
      <c r="AA1983" s="44"/>
      <c r="AB1983" s="65"/>
      <c r="AC1983" s="40"/>
    </row>
    <row r="1984" spans="1:29" hidden="1">
      <c r="A1984" s="751">
        <v>63013</v>
      </c>
      <c r="B1984" s="752" t="s">
        <v>35</v>
      </c>
      <c r="C1984" s="751" t="s">
        <v>2960</v>
      </c>
      <c r="D1984" s="752" t="s">
        <v>3142</v>
      </c>
      <c r="E1984" s="752" t="s">
        <v>2340</v>
      </c>
      <c r="F1984" s="751">
        <v>61012</v>
      </c>
      <c r="G1984" s="752" t="s">
        <v>59</v>
      </c>
      <c r="H1984" s="752" t="s">
        <v>1244</v>
      </c>
      <c r="I1984" s="752" t="s">
        <v>60</v>
      </c>
      <c r="J1984" s="751">
        <v>22</v>
      </c>
      <c r="K1984" s="751">
        <v>2</v>
      </c>
      <c r="L1984" s="752" t="s">
        <v>54</v>
      </c>
      <c r="M1984" s="752" t="s">
        <v>468</v>
      </c>
      <c r="N1984" s="752" t="s">
        <v>469</v>
      </c>
      <c r="O1984" s="752" t="s">
        <v>469</v>
      </c>
      <c r="P1984" s="752" t="s">
        <v>1238</v>
      </c>
      <c r="Q1984" s="753">
        <v>0</v>
      </c>
      <c r="R1984" s="753">
        <v>0</v>
      </c>
      <c r="S1984" s="753">
        <v>0</v>
      </c>
      <c r="T1984" s="753">
        <v>0</v>
      </c>
      <c r="U1984" s="753">
        <v>0</v>
      </c>
      <c r="V1984" s="751">
        <v>2019</v>
      </c>
      <c r="W1984" s="222"/>
      <c r="X1984" s="186"/>
      <c r="Y1984" s="178"/>
      <c r="Z1984" s="178"/>
      <c r="AA1984" s="44"/>
      <c r="AB1984" s="65"/>
      <c r="AC1984" s="40"/>
    </row>
    <row r="1985" spans="1:29" hidden="1">
      <c r="A1985" s="751">
        <v>63051</v>
      </c>
      <c r="B1985" s="752" t="s">
        <v>35</v>
      </c>
      <c r="C1985" s="751" t="s">
        <v>2960</v>
      </c>
      <c r="D1985" s="752" t="s">
        <v>3143</v>
      </c>
      <c r="E1985" s="752" t="s">
        <v>3144</v>
      </c>
      <c r="F1985" s="751">
        <v>62856</v>
      </c>
      <c r="G1985" s="752" t="s">
        <v>59</v>
      </c>
      <c r="H1985" s="752" t="s">
        <v>1244</v>
      </c>
      <c r="I1985" s="752" t="s">
        <v>60</v>
      </c>
      <c r="J1985" s="751">
        <v>22</v>
      </c>
      <c r="K1985" s="751">
        <v>2</v>
      </c>
      <c r="L1985" s="752" t="s">
        <v>54</v>
      </c>
      <c r="M1985" s="752" t="s">
        <v>468</v>
      </c>
      <c r="N1985" s="752" t="s">
        <v>469</v>
      </c>
      <c r="O1985" s="752" t="s">
        <v>469</v>
      </c>
      <c r="P1985" s="752" t="s">
        <v>1238</v>
      </c>
      <c r="Q1985" s="753">
        <v>0</v>
      </c>
      <c r="R1985" s="753">
        <v>0</v>
      </c>
      <c r="S1985" s="753">
        <v>25893</v>
      </c>
      <c r="T1985" s="753">
        <v>25893</v>
      </c>
      <c r="U1985" s="753">
        <v>2908</v>
      </c>
      <c r="V1985" s="751">
        <v>2019</v>
      </c>
      <c r="W1985" s="222"/>
      <c r="X1985" s="186"/>
      <c r="Y1985" s="178"/>
      <c r="Z1985" s="178"/>
      <c r="AA1985" s="44"/>
      <c r="AB1985" s="65"/>
      <c r="AC1985" s="40"/>
    </row>
    <row r="1986" spans="1:29" hidden="1">
      <c r="A1986" s="751">
        <v>63052</v>
      </c>
      <c r="B1986" s="752" t="s">
        <v>35</v>
      </c>
      <c r="C1986" s="751" t="s">
        <v>2960</v>
      </c>
      <c r="D1986" s="752" t="s">
        <v>3145</v>
      </c>
      <c r="E1986" s="752" t="s">
        <v>3144</v>
      </c>
      <c r="F1986" s="751">
        <v>62856</v>
      </c>
      <c r="G1986" s="752" t="s">
        <v>59</v>
      </c>
      <c r="H1986" s="752" t="s">
        <v>1244</v>
      </c>
      <c r="I1986" s="752" t="s">
        <v>60</v>
      </c>
      <c r="J1986" s="751">
        <v>22</v>
      </c>
      <c r="K1986" s="751">
        <v>2</v>
      </c>
      <c r="L1986" s="752" t="s">
        <v>54</v>
      </c>
      <c r="M1986" s="752" t="s">
        <v>468</v>
      </c>
      <c r="N1986" s="752" t="s">
        <v>469</v>
      </c>
      <c r="O1986" s="752" t="s">
        <v>469</v>
      </c>
      <c r="P1986" s="752" t="s">
        <v>1238</v>
      </c>
      <c r="Q1986" s="753">
        <v>0</v>
      </c>
      <c r="R1986" s="753">
        <v>0</v>
      </c>
      <c r="S1986" s="753">
        <v>28243</v>
      </c>
      <c r="T1986" s="753">
        <v>28243</v>
      </c>
      <c r="U1986" s="753">
        <v>3172</v>
      </c>
      <c r="V1986" s="751">
        <v>2019</v>
      </c>
      <c r="W1986" s="222"/>
      <c r="X1986" s="186"/>
      <c r="Y1986" s="178"/>
      <c r="Z1986" s="178"/>
      <c r="AA1986" s="44"/>
      <c r="AB1986" s="65"/>
      <c r="AC1986" s="40"/>
    </row>
    <row r="1987" spans="1:29" hidden="1">
      <c r="A1987" s="751">
        <v>63055</v>
      </c>
      <c r="B1987" s="752" t="s">
        <v>35</v>
      </c>
      <c r="C1987" s="751" t="s">
        <v>2960</v>
      </c>
      <c r="D1987" s="752" t="s">
        <v>3146</v>
      </c>
      <c r="E1987" s="752" t="s">
        <v>3144</v>
      </c>
      <c r="F1987" s="751">
        <v>62856</v>
      </c>
      <c r="G1987" s="752" t="s">
        <v>59</v>
      </c>
      <c r="H1987" s="752" t="s">
        <v>1244</v>
      </c>
      <c r="I1987" s="752" t="s">
        <v>60</v>
      </c>
      <c r="J1987" s="751">
        <v>22</v>
      </c>
      <c r="K1987" s="751">
        <v>2</v>
      </c>
      <c r="L1987" s="752" t="s">
        <v>54</v>
      </c>
      <c r="M1987" s="752" t="s">
        <v>468</v>
      </c>
      <c r="N1987" s="752" t="s">
        <v>469</v>
      </c>
      <c r="O1987" s="752" t="s">
        <v>469</v>
      </c>
      <c r="P1987" s="752" t="s">
        <v>1238</v>
      </c>
      <c r="Q1987" s="753">
        <v>0</v>
      </c>
      <c r="R1987" s="753">
        <v>0</v>
      </c>
      <c r="S1987" s="753">
        <v>17994</v>
      </c>
      <c r="T1987" s="753">
        <v>17994</v>
      </c>
      <c r="U1987" s="753">
        <v>2021</v>
      </c>
      <c r="V1987" s="751">
        <v>2019</v>
      </c>
      <c r="W1987" s="222"/>
      <c r="X1987" s="186"/>
      <c r="Y1987" s="178"/>
      <c r="Z1987" s="178"/>
      <c r="AA1987" s="44"/>
      <c r="AB1987" s="65"/>
      <c r="AC1987" s="40"/>
    </row>
    <row r="1988" spans="1:29" hidden="1">
      <c r="A1988" s="751">
        <v>63056</v>
      </c>
      <c r="B1988" s="752" t="s">
        <v>35</v>
      </c>
      <c r="C1988" s="751" t="s">
        <v>2960</v>
      </c>
      <c r="D1988" s="752" t="s">
        <v>3147</v>
      </c>
      <c r="E1988" s="752" t="s">
        <v>3144</v>
      </c>
      <c r="F1988" s="751">
        <v>62856</v>
      </c>
      <c r="G1988" s="752" t="s">
        <v>59</v>
      </c>
      <c r="H1988" s="752" t="s">
        <v>1244</v>
      </c>
      <c r="I1988" s="752" t="s">
        <v>60</v>
      </c>
      <c r="J1988" s="751">
        <v>22</v>
      </c>
      <c r="K1988" s="751">
        <v>2</v>
      </c>
      <c r="L1988" s="752" t="s">
        <v>54</v>
      </c>
      <c r="M1988" s="752" t="s">
        <v>468</v>
      </c>
      <c r="N1988" s="752" t="s">
        <v>469</v>
      </c>
      <c r="O1988" s="752" t="s">
        <v>469</v>
      </c>
      <c r="P1988" s="752" t="s">
        <v>1238</v>
      </c>
      <c r="Q1988" s="753">
        <v>0</v>
      </c>
      <c r="R1988" s="753">
        <v>0</v>
      </c>
      <c r="S1988" s="753">
        <v>28219</v>
      </c>
      <c r="T1988" s="753">
        <v>28219</v>
      </c>
      <c r="U1988" s="753">
        <v>3169</v>
      </c>
      <c r="V1988" s="751">
        <v>2019</v>
      </c>
      <c r="W1988" s="222"/>
      <c r="X1988" s="186"/>
      <c r="Y1988" s="178"/>
      <c r="Z1988" s="178"/>
      <c r="AA1988" s="44"/>
      <c r="AB1988" s="65"/>
      <c r="AC1988" s="40"/>
    </row>
    <row r="1989" spans="1:29" hidden="1">
      <c r="A1989" s="751">
        <v>63057</v>
      </c>
      <c r="B1989" s="752" t="s">
        <v>35</v>
      </c>
      <c r="C1989" s="751" t="s">
        <v>2960</v>
      </c>
      <c r="D1989" s="752" t="s">
        <v>3148</v>
      </c>
      <c r="E1989" s="752" t="s">
        <v>3144</v>
      </c>
      <c r="F1989" s="751">
        <v>62856</v>
      </c>
      <c r="G1989" s="752" t="s">
        <v>59</v>
      </c>
      <c r="H1989" s="752" t="s">
        <v>1244</v>
      </c>
      <c r="I1989" s="752" t="s">
        <v>60</v>
      </c>
      <c r="J1989" s="751">
        <v>22</v>
      </c>
      <c r="K1989" s="751">
        <v>2</v>
      </c>
      <c r="L1989" s="752" t="s">
        <v>54</v>
      </c>
      <c r="M1989" s="752" t="s">
        <v>468</v>
      </c>
      <c r="N1989" s="752" t="s">
        <v>469</v>
      </c>
      <c r="O1989" s="752" t="s">
        <v>469</v>
      </c>
      <c r="P1989" s="752" t="s">
        <v>1238</v>
      </c>
      <c r="Q1989" s="753">
        <v>0</v>
      </c>
      <c r="R1989" s="753">
        <v>0</v>
      </c>
      <c r="S1989" s="753">
        <v>27416</v>
      </c>
      <c r="T1989" s="753">
        <v>27416</v>
      </c>
      <c r="U1989" s="753">
        <v>3079</v>
      </c>
      <c r="V1989" s="751">
        <v>2019</v>
      </c>
      <c r="W1989" s="222"/>
      <c r="X1989" s="186"/>
      <c r="Y1989" s="178"/>
      <c r="Z1989" s="178"/>
      <c r="AA1989" s="44"/>
      <c r="AB1989" s="65"/>
      <c r="AC1989" s="40"/>
    </row>
    <row r="1990" spans="1:29" hidden="1">
      <c r="A1990" s="751">
        <v>63058</v>
      </c>
      <c r="B1990" s="752" t="s">
        <v>35</v>
      </c>
      <c r="C1990" s="751" t="s">
        <v>2960</v>
      </c>
      <c r="D1990" s="752" t="s">
        <v>3149</v>
      </c>
      <c r="E1990" s="752" t="s">
        <v>3144</v>
      </c>
      <c r="F1990" s="751">
        <v>62856</v>
      </c>
      <c r="G1990" s="752" t="s">
        <v>59</v>
      </c>
      <c r="H1990" s="752" t="s">
        <v>1244</v>
      </c>
      <c r="I1990" s="752" t="s">
        <v>60</v>
      </c>
      <c r="J1990" s="751">
        <v>22</v>
      </c>
      <c r="K1990" s="751">
        <v>2</v>
      </c>
      <c r="L1990" s="752" t="s">
        <v>54</v>
      </c>
      <c r="M1990" s="752" t="s">
        <v>468</v>
      </c>
      <c r="N1990" s="752" t="s">
        <v>469</v>
      </c>
      <c r="O1990" s="752" t="s">
        <v>469</v>
      </c>
      <c r="P1990" s="752" t="s">
        <v>1238</v>
      </c>
      <c r="Q1990" s="753">
        <v>0</v>
      </c>
      <c r="R1990" s="753">
        <v>0</v>
      </c>
      <c r="S1990" s="753">
        <v>28243</v>
      </c>
      <c r="T1990" s="753">
        <v>28243</v>
      </c>
      <c r="U1990" s="753">
        <v>3172</v>
      </c>
      <c r="V1990" s="751">
        <v>2019</v>
      </c>
      <c r="W1990" s="222"/>
      <c r="X1990" s="186"/>
      <c r="Y1990" s="178"/>
      <c r="Z1990" s="178"/>
      <c r="AA1990" s="44"/>
      <c r="AB1990" s="65"/>
      <c r="AC1990" s="40"/>
    </row>
    <row r="1991" spans="1:29" hidden="1">
      <c r="A1991" s="751">
        <v>63059</v>
      </c>
      <c r="B1991" s="752" t="s">
        <v>35</v>
      </c>
      <c r="C1991" s="751" t="s">
        <v>2960</v>
      </c>
      <c r="D1991" s="752" t="s">
        <v>3150</v>
      </c>
      <c r="E1991" s="752" t="s">
        <v>3144</v>
      </c>
      <c r="F1991" s="751">
        <v>62856</v>
      </c>
      <c r="G1991" s="752" t="s">
        <v>59</v>
      </c>
      <c r="H1991" s="752" t="s">
        <v>1244</v>
      </c>
      <c r="I1991" s="752" t="s">
        <v>60</v>
      </c>
      <c r="J1991" s="751">
        <v>22</v>
      </c>
      <c r="K1991" s="751">
        <v>2</v>
      </c>
      <c r="L1991" s="752" t="s">
        <v>54</v>
      </c>
      <c r="M1991" s="752" t="s">
        <v>468</v>
      </c>
      <c r="N1991" s="752" t="s">
        <v>469</v>
      </c>
      <c r="O1991" s="752" t="s">
        <v>469</v>
      </c>
      <c r="P1991" s="752" t="s">
        <v>1238</v>
      </c>
      <c r="Q1991" s="753">
        <v>0</v>
      </c>
      <c r="R1991" s="753">
        <v>0</v>
      </c>
      <c r="S1991" s="753">
        <v>24923</v>
      </c>
      <c r="T1991" s="753">
        <v>24923</v>
      </c>
      <c r="U1991" s="753">
        <v>2799</v>
      </c>
      <c r="V1991" s="751">
        <v>2019</v>
      </c>
      <c r="W1991" s="222"/>
      <c r="X1991" s="186"/>
      <c r="Y1991" s="178"/>
      <c r="Z1991" s="178"/>
      <c r="AA1991" s="44"/>
      <c r="AB1991" s="65"/>
      <c r="AC1991" s="40"/>
    </row>
    <row r="1992" spans="1:29" hidden="1">
      <c r="A1992" s="751">
        <v>63060</v>
      </c>
      <c r="B1992" s="752" t="s">
        <v>35</v>
      </c>
      <c r="C1992" s="751" t="s">
        <v>2960</v>
      </c>
      <c r="D1992" s="752" t="s">
        <v>3151</v>
      </c>
      <c r="E1992" s="752" t="s">
        <v>3144</v>
      </c>
      <c r="F1992" s="751">
        <v>62856</v>
      </c>
      <c r="G1992" s="752" t="s">
        <v>59</v>
      </c>
      <c r="H1992" s="752" t="s">
        <v>1244</v>
      </c>
      <c r="I1992" s="752" t="s">
        <v>60</v>
      </c>
      <c r="J1992" s="751">
        <v>22</v>
      </c>
      <c r="K1992" s="751">
        <v>2</v>
      </c>
      <c r="L1992" s="752" t="s">
        <v>54</v>
      </c>
      <c r="M1992" s="752" t="s">
        <v>468</v>
      </c>
      <c r="N1992" s="752" t="s">
        <v>469</v>
      </c>
      <c r="O1992" s="752" t="s">
        <v>469</v>
      </c>
      <c r="P1992" s="752" t="s">
        <v>1238</v>
      </c>
      <c r="Q1992" s="753">
        <v>0</v>
      </c>
      <c r="R1992" s="753">
        <v>0</v>
      </c>
      <c r="S1992" s="753">
        <v>50492</v>
      </c>
      <c r="T1992" s="753">
        <v>50492</v>
      </c>
      <c r="U1992" s="753">
        <v>5671</v>
      </c>
      <c r="V1992" s="751">
        <v>2019</v>
      </c>
      <c r="W1992" s="222"/>
      <c r="X1992" s="186"/>
      <c r="Y1992" s="178"/>
      <c r="Z1992" s="178"/>
      <c r="AA1992" s="44"/>
      <c r="AB1992" s="65"/>
      <c r="AC1992" s="40"/>
    </row>
    <row r="1993" spans="1:29" hidden="1">
      <c r="A1993" s="751">
        <v>63079</v>
      </c>
      <c r="B1993" s="752" t="s">
        <v>35</v>
      </c>
      <c r="C1993" s="751" t="s">
        <v>2960</v>
      </c>
      <c r="D1993" s="752" t="s">
        <v>3152</v>
      </c>
      <c r="E1993" s="752" t="s">
        <v>3144</v>
      </c>
      <c r="F1993" s="751">
        <v>62856</v>
      </c>
      <c r="G1993" s="752" t="s">
        <v>59</v>
      </c>
      <c r="H1993" s="752" t="s">
        <v>1244</v>
      </c>
      <c r="I1993" s="752" t="s">
        <v>60</v>
      </c>
      <c r="J1993" s="751">
        <v>22</v>
      </c>
      <c r="K1993" s="751">
        <v>2</v>
      </c>
      <c r="L1993" s="752" t="s">
        <v>54</v>
      </c>
      <c r="M1993" s="752" t="s">
        <v>468</v>
      </c>
      <c r="N1993" s="752" t="s">
        <v>469</v>
      </c>
      <c r="O1993" s="752" t="s">
        <v>469</v>
      </c>
      <c r="P1993" s="752" t="s">
        <v>1238</v>
      </c>
      <c r="Q1993" s="753">
        <v>0</v>
      </c>
      <c r="R1993" s="753">
        <v>0</v>
      </c>
      <c r="S1993" s="753">
        <v>12430</v>
      </c>
      <c r="T1993" s="753">
        <v>12430</v>
      </c>
      <c r="U1993" s="753">
        <v>1396</v>
      </c>
      <c r="V1993" s="751">
        <v>2019</v>
      </c>
      <c r="W1993" s="222"/>
      <c r="X1993" s="186"/>
      <c r="Y1993" s="178"/>
      <c r="Z1993" s="178"/>
      <c r="AA1993" s="44"/>
      <c r="AB1993" s="65"/>
      <c r="AC1993" s="40"/>
    </row>
    <row r="1994" spans="1:29" hidden="1">
      <c r="A1994" s="751">
        <v>63086</v>
      </c>
      <c r="B1994" s="752" t="s">
        <v>35</v>
      </c>
      <c r="C1994" s="751" t="s">
        <v>2960</v>
      </c>
      <c r="D1994" s="752" t="s">
        <v>3153</v>
      </c>
      <c r="E1994" s="752" t="s">
        <v>3144</v>
      </c>
      <c r="F1994" s="751">
        <v>62856</v>
      </c>
      <c r="G1994" s="752" t="s">
        <v>59</v>
      </c>
      <c r="H1994" s="752" t="s">
        <v>1244</v>
      </c>
      <c r="I1994" s="752" t="s">
        <v>60</v>
      </c>
      <c r="J1994" s="751">
        <v>22</v>
      </c>
      <c r="K1994" s="751">
        <v>2</v>
      </c>
      <c r="L1994" s="752" t="s">
        <v>54</v>
      </c>
      <c r="M1994" s="752" t="s">
        <v>468</v>
      </c>
      <c r="N1994" s="752" t="s">
        <v>469</v>
      </c>
      <c r="O1994" s="752" t="s">
        <v>469</v>
      </c>
      <c r="P1994" s="752" t="s">
        <v>1238</v>
      </c>
      <c r="Q1994" s="753">
        <v>0</v>
      </c>
      <c r="R1994" s="753">
        <v>0</v>
      </c>
      <c r="S1994" s="753">
        <v>2333</v>
      </c>
      <c r="T1994" s="753">
        <v>2333</v>
      </c>
      <c r="U1994" s="753">
        <v>262</v>
      </c>
      <c r="V1994" s="751">
        <v>2019</v>
      </c>
      <c r="W1994" s="222"/>
      <c r="X1994" s="186"/>
      <c r="Y1994" s="178"/>
      <c r="Z1994" s="178"/>
      <c r="AA1994" s="44"/>
      <c r="AB1994" s="65"/>
      <c r="AC1994" s="40"/>
    </row>
    <row r="1995" spans="1:29" hidden="1">
      <c r="A1995" s="751">
        <v>63106</v>
      </c>
      <c r="B1995" s="752" t="s">
        <v>35</v>
      </c>
      <c r="C1995" s="751" t="s">
        <v>2960</v>
      </c>
      <c r="D1995" s="752" t="s">
        <v>3154</v>
      </c>
      <c r="E1995" s="752" t="s">
        <v>3144</v>
      </c>
      <c r="F1995" s="751">
        <v>62856</v>
      </c>
      <c r="G1995" s="752" t="s">
        <v>59</v>
      </c>
      <c r="H1995" s="752" t="s">
        <v>1244</v>
      </c>
      <c r="I1995" s="752" t="s">
        <v>60</v>
      </c>
      <c r="J1995" s="751">
        <v>22</v>
      </c>
      <c r="K1995" s="751">
        <v>2</v>
      </c>
      <c r="L1995" s="752" t="s">
        <v>54</v>
      </c>
      <c r="M1995" s="752" t="s">
        <v>468</v>
      </c>
      <c r="N1995" s="752" t="s">
        <v>469</v>
      </c>
      <c r="O1995" s="752" t="s">
        <v>469</v>
      </c>
      <c r="P1995" s="752" t="s">
        <v>1238</v>
      </c>
      <c r="Q1995" s="753">
        <v>0</v>
      </c>
      <c r="R1995" s="753">
        <v>0</v>
      </c>
      <c r="S1995" s="753">
        <v>4747</v>
      </c>
      <c r="T1995" s="753">
        <v>4747</v>
      </c>
      <c r="U1995" s="753">
        <v>533</v>
      </c>
      <c r="V1995" s="751">
        <v>2019</v>
      </c>
      <c r="W1995" s="222"/>
      <c r="X1995" s="186"/>
      <c r="Y1995" s="178"/>
      <c r="Z1995" s="178"/>
      <c r="AA1995" s="44"/>
      <c r="AB1995" s="65"/>
      <c r="AC1995" s="40"/>
    </row>
    <row r="1996" spans="1:29" hidden="1">
      <c r="A1996" s="751">
        <v>63108</v>
      </c>
      <c r="B1996" s="752" t="s">
        <v>35</v>
      </c>
      <c r="C1996" s="751" t="s">
        <v>2960</v>
      </c>
      <c r="D1996" s="752" t="s">
        <v>3155</v>
      </c>
      <c r="E1996" s="752" t="s">
        <v>3144</v>
      </c>
      <c r="F1996" s="751">
        <v>62856</v>
      </c>
      <c r="G1996" s="752" t="s">
        <v>59</v>
      </c>
      <c r="H1996" s="752" t="s">
        <v>1244</v>
      </c>
      <c r="I1996" s="752" t="s">
        <v>60</v>
      </c>
      <c r="J1996" s="751">
        <v>22</v>
      </c>
      <c r="K1996" s="751">
        <v>2</v>
      </c>
      <c r="L1996" s="752" t="s">
        <v>54</v>
      </c>
      <c r="M1996" s="752" t="s">
        <v>468</v>
      </c>
      <c r="N1996" s="752" t="s">
        <v>469</v>
      </c>
      <c r="O1996" s="752" t="s">
        <v>469</v>
      </c>
      <c r="P1996" s="752" t="s">
        <v>1238</v>
      </c>
      <c r="Q1996" s="753">
        <v>0</v>
      </c>
      <c r="R1996" s="753">
        <v>0</v>
      </c>
      <c r="S1996" s="753">
        <v>4772</v>
      </c>
      <c r="T1996" s="753">
        <v>4772</v>
      </c>
      <c r="U1996" s="753">
        <v>536</v>
      </c>
      <c r="V1996" s="751">
        <v>2019</v>
      </c>
      <c r="W1996" s="222"/>
      <c r="X1996" s="186"/>
      <c r="Y1996" s="178"/>
      <c r="Z1996" s="178"/>
      <c r="AA1996" s="44"/>
      <c r="AB1996" s="65"/>
      <c r="AC1996" s="40"/>
    </row>
    <row r="1997" spans="1:29" hidden="1">
      <c r="A1997" s="751">
        <v>63112</v>
      </c>
      <c r="B1997" s="752" t="s">
        <v>35</v>
      </c>
      <c r="C1997" s="751" t="s">
        <v>2960</v>
      </c>
      <c r="D1997" s="752" t="s">
        <v>3156</v>
      </c>
      <c r="E1997" s="752" t="s">
        <v>3144</v>
      </c>
      <c r="F1997" s="751">
        <v>62856</v>
      </c>
      <c r="G1997" s="752" t="s">
        <v>59</v>
      </c>
      <c r="H1997" s="752" t="s">
        <v>1244</v>
      </c>
      <c r="I1997" s="752" t="s">
        <v>60</v>
      </c>
      <c r="J1997" s="751">
        <v>22</v>
      </c>
      <c r="K1997" s="751">
        <v>2</v>
      </c>
      <c r="L1997" s="752" t="s">
        <v>54</v>
      </c>
      <c r="M1997" s="752" t="s">
        <v>468</v>
      </c>
      <c r="N1997" s="752" t="s">
        <v>469</v>
      </c>
      <c r="O1997" s="752" t="s">
        <v>469</v>
      </c>
      <c r="P1997" s="752" t="s">
        <v>1238</v>
      </c>
      <c r="Q1997" s="753">
        <v>0</v>
      </c>
      <c r="R1997" s="753">
        <v>0</v>
      </c>
      <c r="S1997" s="753">
        <v>5324</v>
      </c>
      <c r="T1997" s="753">
        <v>5324</v>
      </c>
      <c r="U1997" s="753">
        <v>598</v>
      </c>
      <c r="V1997" s="751">
        <v>2019</v>
      </c>
      <c r="W1997" s="222"/>
      <c r="X1997" s="186"/>
      <c r="Y1997" s="178"/>
      <c r="Z1997" s="178"/>
      <c r="AA1997" s="44"/>
      <c r="AB1997" s="65"/>
      <c r="AC1997" s="40"/>
    </row>
    <row r="1998" spans="1:29" hidden="1">
      <c r="A1998" s="751">
        <v>63131</v>
      </c>
      <c r="B1998" s="752" t="s">
        <v>35</v>
      </c>
      <c r="C1998" s="751" t="s">
        <v>2960</v>
      </c>
      <c r="D1998" s="752" t="s">
        <v>3157</v>
      </c>
      <c r="E1998" s="752" t="s">
        <v>2340</v>
      </c>
      <c r="F1998" s="751">
        <v>61012</v>
      </c>
      <c r="G1998" s="752" t="s">
        <v>83</v>
      </c>
      <c r="H1998" s="752" t="s">
        <v>1245</v>
      </c>
      <c r="I1998" s="752" t="s">
        <v>60</v>
      </c>
      <c r="J1998" s="751">
        <v>22</v>
      </c>
      <c r="K1998" s="751">
        <v>2</v>
      </c>
      <c r="L1998" s="752" t="s">
        <v>54</v>
      </c>
      <c r="M1998" s="752" t="s">
        <v>468</v>
      </c>
      <c r="N1998" s="752" t="s">
        <v>469</v>
      </c>
      <c r="O1998" s="752" t="s">
        <v>469</v>
      </c>
      <c r="P1998" s="752" t="s">
        <v>1238</v>
      </c>
      <c r="Q1998" s="753">
        <v>0</v>
      </c>
      <c r="R1998" s="753">
        <v>0</v>
      </c>
      <c r="S1998" s="753">
        <v>0</v>
      </c>
      <c r="T1998" s="753">
        <v>0</v>
      </c>
      <c r="U1998" s="753">
        <v>0</v>
      </c>
      <c r="V1998" s="751">
        <v>2019</v>
      </c>
      <c r="W1998" s="222"/>
      <c r="X1998" s="186"/>
      <c r="Y1998" s="178"/>
      <c r="Z1998" s="178"/>
      <c r="AA1998" s="44"/>
      <c r="AB1998" s="65"/>
      <c r="AC1998" s="40"/>
    </row>
    <row r="1999" spans="1:29" ht="25" hidden="1">
      <c r="A1999" s="751">
        <v>63203</v>
      </c>
      <c r="B1999" s="752" t="s">
        <v>35</v>
      </c>
      <c r="C1999" s="751" t="s">
        <v>2960</v>
      </c>
      <c r="D1999" s="752" t="s">
        <v>3158</v>
      </c>
      <c r="E1999" s="752" t="s">
        <v>3159</v>
      </c>
      <c r="F1999" s="751">
        <v>19780</v>
      </c>
      <c r="G1999" s="752" t="s">
        <v>91</v>
      </c>
      <c r="H1999" s="752" t="s">
        <v>1245</v>
      </c>
      <c r="I1999" s="752" t="s">
        <v>60</v>
      </c>
      <c r="J1999" s="751">
        <v>22</v>
      </c>
      <c r="K1999" s="751">
        <v>1</v>
      </c>
      <c r="L1999" s="752" t="s">
        <v>36</v>
      </c>
      <c r="M1999" s="752" t="s">
        <v>52</v>
      </c>
      <c r="N1999" s="752" t="s">
        <v>48</v>
      </c>
      <c r="O1999" s="752" t="s">
        <v>48</v>
      </c>
      <c r="P1999" s="752" t="s">
        <v>49</v>
      </c>
      <c r="Q1999" s="753">
        <v>696</v>
      </c>
      <c r="R1999" s="753">
        <v>696</v>
      </c>
      <c r="S1999" s="753">
        <v>4176</v>
      </c>
      <c r="T1999" s="753">
        <v>4176</v>
      </c>
      <c r="U1999" s="753">
        <v>264</v>
      </c>
      <c r="V1999" s="751">
        <v>2019</v>
      </c>
      <c r="W1999" s="222"/>
      <c r="X1999" s="186"/>
      <c r="Y1999" s="178"/>
      <c r="Z1999" s="178"/>
      <c r="AA1999" s="44"/>
      <c r="AB1999" s="65"/>
      <c r="AC1999" s="40"/>
    </row>
    <row r="2000" spans="1:29" hidden="1">
      <c r="A2000" s="751">
        <v>63212</v>
      </c>
      <c r="B2000" s="752" t="s">
        <v>35</v>
      </c>
      <c r="C2000" s="751" t="s">
        <v>2960</v>
      </c>
      <c r="D2000" s="752" t="s">
        <v>3160</v>
      </c>
      <c r="E2000" s="752" t="s">
        <v>2085</v>
      </c>
      <c r="F2000" s="751">
        <v>58135</v>
      </c>
      <c r="G2000" s="752" t="s">
        <v>91</v>
      </c>
      <c r="H2000" s="752" t="s">
        <v>1245</v>
      </c>
      <c r="I2000" s="752" t="s">
        <v>60</v>
      </c>
      <c r="J2000" s="751">
        <v>22</v>
      </c>
      <c r="K2000" s="751">
        <v>2</v>
      </c>
      <c r="L2000" s="752" t="s">
        <v>54</v>
      </c>
      <c r="M2000" s="752" t="s">
        <v>468</v>
      </c>
      <c r="N2000" s="752" t="s">
        <v>469</v>
      </c>
      <c r="O2000" s="752" t="s">
        <v>469</v>
      </c>
      <c r="P2000" s="752" t="s">
        <v>1238</v>
      </c>
      <c r="Q2000" s="753">
        <v>0</v>
      </c>
      <c r="R2000" s="753">
        <v>0</v>
      </c>
      <c r="S2000" s="753">
        <v>4845</v>
      </c>
      <c r="T2000" s="753">
        <v>4845</v>
      </c>
      <c r="U2000" s="753">
        <v>544</v>
      </c>
      <c r="V2000" s="751">
        <v>2019</v>
      </c>
      <c r="W2000" s="222"/>
      <c r="X2000" s="186"/>
      <c r="Y2000" s="178"/>
      <c r="Z2000" s="178"/>
      <c r="AA2000" s="44"/>
      <c r="AB2000" s="65"/>
      <c r="AC2000" s="40"/>
    </row>
    <row r="2001" spans="1:29" hidden="1">
      <c r="A2001" s="751">
        <v>63214</v>
      </c>
      <c r="B2001" s="752" t="s">
        <v>35</v>
      </c>
      <c r="C2001" s="751" t="s">
        <v>2960</v>
      </c>
      <c r="D2001" s="752" t="s">
        <v>3161</v>
      </c>
      <c r="E2001" s="752" t="s">
        <v>3162</v>
      </c>
      <c r="F2001" s="751">
        <v>62950</v>
      </c>
      <c r="G2001" s="752" t="s">
        <v>83</v>
      </c>
      <c r="H2001" s="752" t="s">
        <v>1245</v>
      </c>
      <c r="I2001" s="752" t="s">
        <v>60</v>
      </c>
      <c r="J2001" s="751">
        <v>22</v>
      </c>
      <c r="K2001" s="751">
        <v>2</v>
      </c>
      <c r="L2001" s="752" t="s">
        <v>54</v>
      </c>
      <c r="M2001" s="752" t="s">
        <v>468</v>
      </c>
      <c r="N2001" s="752" t="s">
        <v>469</v>
      </c>
      <c r="O2001" s="752" t="s">
        <v>469</v>
      </c>
      <c r="P2001" s="752" t="s">
        <v>1238</v>
      </c>
      <c r="Q2001" s="753">
        <v>0</v>
      </c>
      <c r="R2001" s="753">
        <v>0</v>
      </c>
      <c r="S2001" s="753">
        <v>64395</v>
      </c>
      <c r="T2001" s="753">
        <v>64395</v>
      </c>
      <c r="U2001" s="753">
        <v>7232</v>
      </c>
      <c r="V2001" s="751">
        <v>2019</v>
      </c>
      <c r="W2001" s="222"/>
      <c r="X2001" s="186"/>
      <c r="Y2001" s="178"/>
      <c r="Z2001" s="178"/>
      <c r="AA2001" s="44"/>
      <c r="AB2001" s="65"/>
      <c r="AC2001" s="40"/>
    </row>
    <row r="2002" spans="1:29" ht="25" hidden="1">
      <c r="A2002" s="751">
        <v>63230</v>
      </c>
      <c r="B2002" s="752" t="s">
        <v>35</v>
      </c>
      <c r="C2002" s="751" t="s">
        <v>2960</v>
      </c>
      <c r="D2002" s="752" t="s">
        <v>3163</v>
      </c>
      <c r="E2002" s="752" t="s">
        <v>3164</v>
      </c>
      <c r="F2002" s="751">
        <v>62994</v>
      </c>
      <c r="G2002" s="752" t="s">
        <v>59</v>
      </c>
      <c r="H2002" s="752" t="s">
        <v>1244</v>
      </c>
      <c r="I2002" s="752" t="s">
        <v>60</v>
      </c>
      <c r="J2002" s="751">
        <v>111</v>
      </c>
      <c r="K2002" s="751">
        <v>6</v>
      </c>
      <c r="L2002" s="752" t="s">
        <v>420</v>
      </c>
      <c r="M2002" s="752" t="s">
        <v>468</v>
      </c>
      <c r="N2002" s="752" t="s">
        <v>469</v>
      </c>
      <c r="O2002" s="752" t="s">
        <v>469</v>
      </c>
      <c r="P2002" s="752" t="s">
        <v>1238</v>
      </c>
      <c r="Q2002" s="753">
        <v>0</v>
      </c>
      <c r="R2002" s="753">
        <v>0</v>
      </c>
      <c r="S2002" s="753">
        <v>56238</v>
      </c>
      <c r="T2002" s="753">
        <v>56238</v>
      </c>
      <c r="U2002" s="753">
        <v>6316</v>
      </c>
      <c r="V2002" s="751">
        <v>2019</v>
      </c>
      <c r="W2002" s="222"/>
      <c r="X2002" s="186"/>
      <c r="Y2002" s="178"/>
      <c r="Z2002" s="178"/>
      <c r="AA2002" s="44"/>
      <c r="AB2002" s="65"/>
      <c r="AC2002" s="40"/>
    </row>
    <row r="2003" spans="1:29" ht="25" hidden="1">
      <c r="A2003" s="751">
        <v>63232</v>
      </c>
      <c r="B2003" s="752" t="s">
        <v>35</v>
      </c>
      <c r="C2003" s="751" t="s">
        <v>2960</v>
      </c>
      <c r="D2003" s="752" t="s">
        <v>3165</v>
      </c>
      <c r="E2003" s="752" t="s">
        <v>3164</v>
      </c>
      <c r="F2003" s="751">
        <v>62994</v>
      </c>
      <c r="G2003" s="752" t="s">
        <v>83</v>
      </c>
      <c r="H2003" s="752" t="s">
        <v>1245</v>
      </c>
      <c r="I2003" s="752" t="s">
        <v>60</v>
      </c>
      <c r="J2003" s="751">
        <v>335</v>
      </c>
      <c r="K2003" s="751">
        <v>6</v>
      </c>
      <c r="L2003" s="752" t="s">
        <v>420</v>
      </c>
      <c r="M2003" s="752" t="s">
        <v>468</v>
      </c>
      <c r="N2003" s="752" t="s">
        <v>469</v>
      </c>
      <c r="O2003" s="752" t="s">
        <v>469</v>
      </c>
      <c r="P2003" s="752" t="s">
        <v>1238</v>
      </c>
      <c r="Q2003" s="753">
        <v>0</v>
      </c>
      <c r="R2003" s="753">
        <v>0</v>
      </c>
      <c r="S2003" s="753">
        <v>21067</v>
      </c>
      <c r="T2003" s="753">
        <v>21067</v>
      </c>
      <c r="U2003" s="753">
        <v>2366</v>
      </c>
      <c r="V2003" s="751">
        <v>2019</v>
      </c>
      <c r="W2003" s="222"/>
      <c r="X2003" s="186"/>
      <c r="Y2003" s="178"/>
      <c r="Z2003" s="178"/>
      <c r="AA2003" s="44"/>
      <c r="AB2003" s="65"/>
      <c r="AC2003" s="40"/>
    </row>
    <row r="2004" spans="1:29" ht="25" hidden="1">
      <c r="A2004" s="751">
        <v>63236</v>
      </c>
      <c r="B2004" s="752" t="s">
        <v>56</v>
      </c>
      <c r="C2004" s="751" t="s">
        <v>2960</v>
      </c>
      <c r="D2004" s="752" t="s">
        <v>3166</v>
      </c>
      <c r="E2004" s="752" t="s">
        <v>3167</v>
      </c>
      <c r="F2004" s="751">
        <v>62997</v>
      </c>
      <c r="G2004" s="752" t="s">
        <v>59</v>
      </c>
      <c r="H2004" s="752" t="s">
        <v>1244</v>
      </c>
      <c r="I2004" s="752" t="s">
        <v>60</v>
      </c>
      <c r="J2004" s="751">
        <v>441</v>
      </c>
      <c r="K2004" s="751">
        <v>5</v>
      </c>
      <c r="L2004" s="752" t="s">
        <v>423</v>
      </c>
      <c r="M2004" s="752" t="s">
        <v>53</v>
      </c>
      <c r="N2004" s="752" t="s">
        <v>41</v>
      </c>
      <c r="O2004" s="752" t="s">
        <v>41</v>
      </c>
      <c r="P2004" s="752" t="s">
        <v>1091</v>
      </c>
      <c r="Q2004" s="753">
        <v>209952</v>
      </c>
      <c r="R2004" s="753">
        <v>209952</v>
      </c>
      <c r="S2004" s="753">
        <v>216670</v>
      </c>
      <c r="T2004" s="753">
        <v>216670</v>
      </c>
      <c r="U2004" s="753">
        <v>20983</v>
      </c>
      <c r="V2004" s="751">
        <v>2019</v>
      </c>
      <c r="W2004" s="222"/>
      <c r="X2004" s="186"/>
      <c r="Y2004" s="178"/>
      <c r="Z2004" s="178"/>
      <c r="AA2004" s="44"/>
      <c r="AB2004" s="65"/>
      <c r="AC2004" s="40"/>
    </row>
    <row r="2005" spans="1:29" hidden="1">
      <c r="A2005" s="751">
        <v>63239</v>
      </c>
      <c r="B2005" s="752" t="s">
        <v>35</v>
      </c>
      <c r="C2005" s="751" t="s">
        <v>2960</v>
      </c>
      <c r="D2005" s="752" t="s">
        <v>3168</v>
      </c>
      <c r="E2005" s="752" t="s">
        <v>2085</v>
      </c>
      <c r="F2005" s="751">
        <v>58135</v>
      </c>
      <c r="G2005" s="752" t="s">
        <v>43</v>
      </c>
      <c r="H2005" s="752" t="s">
        <v>1245</v>
      </c>
      <c r="I2005" s="752" t="s">
        <v>60</v>
      </c>
      <c r="J2005" s="751">
        <v>22</v>
      </c>
      <c r="K2005" s="751">
        <v>2</v>
      </c>
      <c r="L2005" s="752" t="s">
        <v>54</v>
      </c>
      <c r="M2005" s="752" t="s">
        <v>468</v>
      </c>
      <c r="N2005" s="752" t="s">
        <v>469</v>
      </c>
      <c r="O2005" s="752" t="s">
        <v>469</v>
      </c>
      <c r="P2005" s="752" t="s">
        <v>1238</v>
      </c>
      <c r="Q2005" s="753">
        <v>0</v>
      </c>
      <c r="R2005" s="753">
        <v>0</v>
      </c>
      <c r="S2005" s="753">
        <v>0</v>
      </c>
      <c r="T2005" s="753">
        <v>0</v>
      </c>
      <c r="U2005" s="753">
        <v>0</v>
      </c>
      <c r="V2005" s="751">
        <v>2019</v>
      </c>
      <c r="W2005" s="222"/>
      <c r="X2005" s="186"/>
      <c r="Y2005" s="178"/>
      <c r="Z2005" s="178"/>
      <c r="AA2005" s="44"/>
      <c r="AB2005" s="65"/>
      <c r="AC2005" s="40"/>
    </row>
    <row r="2006" spans="1:29" hidden="1">
      <c r="A2006" s="751">
        <v>63240</v>
      </c>
      <c r="B2006" s="752" t="s">
        <v>35</v>
      </c>
      <c r="C2006" s="751" t="s">
        <v>2960</v>
      </c>
      <c r="D2006" s="752" t="s">
        <v>3169</v>
      </c>
      <c r="E2006" s="752" t="s">
        <v>2085</v>
      </c>
      <c r="F2006" s="751">
        <v>58135</v>
      </c>
      <c r="G2006" s="752" t="s">
        <v>43</v>
      </c>
      <c r="H2006" s="752" t="s">
        <v>1245</v>
      </c>
      <c r="I2006" s="752" t="s">
        <v>60</v>
      </c>
      <c r="J2006" s="751">
        <v>22</v>
      </c>
      <c r="K2006" s="751">
        <v>2</v>
      </c>
      <c r="L2006" s="752" t="s">
        <v>54</v>
      </c>
      <c r="M2006" s="752" t="s">
        <v>468</v>
      </c>
      <c r="N2006" s="752" t="s">
        <v>469</v>
      </c>
      <c r="O2006" s="752" t="s">
        <v>469</v>
      </c>
      <c r="P2006" s="752" t="s">
        <v>1238</v>
      </c>
      <c r="Q2006" s="753">
        <v>0</v>
      </c>
      <c r="R2006" s="753">
        <v>0</v>
      </c>
      <c r="S2006" s="753">
        <v>0</v>
      </c>
      <c r="T2006" s="753">
        <v>0</v>
      </c>
      <c r="U2006" s="753">
        <v>0</v>
      </c>
      <c r="V2006" s="751">
        <v>2019</v>
      </c>
      <c r="W2006" s="222"/>
      <c r="X2006" s="186"/>
      <c r="Y2006" s="178"/>
      <c r="Z2006" s="178"/>
      <c r="AA2006" s="44"/>
      <c r="AB2006" s="65"/>
      <c r="AC2006" s="40"/>
    </row>
    <row r="2007" spans="1:29" hidden="1">
      <c r="A2007" s="751">
        <v>63262</v>
      </c>
      <c r="B2007" s="752" t="s">
        <v>35</v>
      </c>
      <c r="C2007" s="751" t="s">
        <v>2960</v>
      </c>
      <c r="D2007" s="752" t="s">
        <v>3170</v>
      </c>
      <c r="E2007" s="752" t="s">
        <v>3171</v>
      </c>
      <c r="F2007" s="751">
        <v>63058</v>
      </c>
      <c r="G2007" s="752" t="s">
        <v>43</v>
      </c>
      <c r="H2007" s="752" t="s">
        <v>1245</v>
      </c>
      <c r="I2007" s="752" t="s">
        <v>60</v>
      </c>
      <c r="J2007" s="751">
        <v>22</v>
      </c>
      <c r="K2007" s="751">
        <v>2</v>
      </c>
      <c r="L2007" s="752" t="s">
        <v>54</v>
      </c>
      <c r="M2007" s="752" t="s">
        <v>468</v>
      </c>
      <c r="N2007" s="752" t="s">
        <v>469</v>
      </c>
      <c r="O2007" s="752" t="s">
        <v>469</v>
      </c>
      <c r="P2007" s="752" t="s">
        <v>1238</v>
      </c>
      <c r="Q2007" s="753">
        <v>0</v>
      </c>
      <c r="R2007" s="753">
        <v>0</v>
      </c>
      <c r="S2007" s="753">
        <v>19723</v>
      </c>
      <c r="T2007" s="753">
        <v>19723</v>
      </c>
      <c r="U2007" s="753">
        <v>2215</v>
      </c>
      <c r="V2007" s="751">
        <v>2019</v>
      </c>
      <c r="W2007" s="222"/>
      <c r="X2007" s="186"/>
      <c r="Y2007" s="178"/>
      <c r="Z2007" s="178"/>
      <c r="AA2007" s="44"/>
      <c r="AB2007" s="65"/>
      <c r="AC2007" s="40"/>
    </row>
    <row r="2008" spans="1:29" hidden="1">
      <c r="A2008" s="751">
        <v>63279</v>
      </c>
      <c r="B2008" s="752" t="s">
        <v>35</v>
      </c>
      <c r="C2008" s="751" t="s">
        <v>2960</v>
      </c>
      <c r="D2008" s="752" t="s">
        <v>3172</v>
      </c>
      <c r="E2008" s="752" t="s">
        <v>1735</v>
      </c>
      <c r="F2008" s="751">
        <v>58871</v>
      </c>
      <c r="G2008" s="752" t="s">
        <v>59</v>
      </c>
      <c r="H2008" s="752" t="s">
        <v>1244</v>
      </c>
      <c r="I2008" s="752" t="s">
        <v>60</v>
      </c>
      <c r="J2008" s="751">
        <v>22</v>
      </c>
      <c r="K2008" s="751">
        <v>2</v>
      </c>
      <c r="L2008" s="752" t="s">
        <v>54</v>
      </c>
      <c r="M2008" s="752" t="s">
        <v>468</v>
      </c>
      <c r="N2008" s="752" t="s">
        <v>469</v>
      </c>
      <c r="O2008" s="752" t="s">
        <v>469</v>
      </c>
      <c r="P2008" s="752" t="s">
        <v>1238</v>
      </c>
      <c r="Q2008" s="753">
        <v>0</v>
      </c>
      <c r="R2008" s="753">
        <v>0</v>
      </c>
      <c r="S2008" s="753">
        <v>6456</v>
      </c>
      <c r="T2008" s="753">
        <v>6456</v>
      </c>
      <c r="U2008" s="753">
        <v>725</v>
      </c>
      <c r="V2008" s="751">
        <v>2019</v>
      </c>
      <c r="W2008" s="222"/>
      <c r="X2008" s="186"/>
      <c r="Y2008" s="178"/>
      <c r="Z2008" s="178"/>
      <c r="AA2008" s="44"/>
      <c r="AB2008" s="65"/>
      <c r="AC2008" s="40"/>
    </row>
    <row r="2009" spans="1:29" ht="25" hidden="1">
      <c r="A2009" s="751">
        <v>63288</v>
      </c>
      <c r="B2009" s="752" t="s">
        <v>35</v>
      </c>
      <c r="C2009" s="751" t="s">
        <v>2960</v>
      </c>
      <c r="D2009" s="752" t="s">
        <v>3173</v>
      </c>
      <c r="E2009" s="752" t="s">
        <v>3173</v>
      </c>
      <c r="F2009" s="751">
        <v>63060</v>
      </c>
      <c r="G2009" s="752" t="s">
        <v>43</v>
      </c>
      <c r="H2009" s="752" t="s">
        <v>1245</v>
      </c>
      <c r="I2009" s="752" t="s">
        <v>60</v>
      </c>
      <c r="J2009" s="751">
        <v>441</v>
      </c>
      <c r="K2009" s="751">
        <v>4</v>
      </c>
      <c r="L2009" s="752" t="s">
        <v>422</v>
      </c>
      <c r="M2009" s="752" t="s">
        <v>468</v>
      </c>
      <c r="N2009" s="752" t="s">
        <v>469</v>
      </c>
      <c r="O2009" s="752" t="s">
        <v>469</v>
      </c>
      <c r="P2009" s="752" t="s">
        <v>1238</v>
      </c>
      <c r="Q2009" s="753">
        <v>0</v>
      </c>
      <c r="R2009" s="753">
        <v>0</v>
      </c>
      <c r="S2009" s="753">
        <v>36916</v>
      </c>
      <c r="T2009" s="753">
        <v>36916</v>
      </c>
      <c r="U2009" s="753">
        <v>4146</v>
      </c>
      <c r="V2009" s="751">
        <v>2019</v>
      </c>
      <c r="W2009" s="222"/>
      <c r="X2009" s="186"/>
      <c r="Y2009" s="178"/>
      <c r="Z2009" s="178"/>
      <c r="AA2009" s="44"/>
      <c r="AB2009" s="65"/>
      <c r="AC2009" s="40"/>
    </row>
    <row r="2010" spans="1:29" ht="25" hidden="1">
      <c r="A2010" s="751">
        <v>63290</v>
      </c>
      <c r="B2010" s="752" t="s">
        <v>35</v>
      </c>
      <c r="C2010" s="751" t="s">
        <v>2960</v>
      </c>
      <c r="D2010" s="752" t="s">
        <v>3174</v>
      </c>
      <c r="E2010" s="752" t="s">
        <v>3174</v>
      </c>
      <c r="F2010" s="751">
        <v>63061</v>
      </c>
      <c r="G2010" s="752" t="s">
        <v>83</v>
      </c>
      <c r="H2010" s="752" t="s">
        <v>1245</v>
      </c>
      <c r="I2010" s="752" t="s">
        <v>60</v>
      </c>
      <c r="J2010" s="751">
        <v>441</v>
      </c>
      <c r="K2010" s="751">
        <v>4</v>
      </c>
      <c r="L2010" s="752" t="s">
        <v>422</v>
      </c>
      <c r="M2010" s="752" t="s">
        <v>468</v>
      </c>
      <c r="N2010" s="752" t="s">
        <v>469</v>
      </c>
      <c r="O2010" s="752" t="s">
        <v>469</v>
      </c>
      <c r="P2010" s="752" t="s">
        <v>1238</v>
      </c>
      <c r="Q2010" s="753">
        <v>0</v>
      </c>
      <c r="R2010" s="753">
        <v>0</v>
      </c>
      <c r="S2010" s="753">
        <v>26258</v>
      </c>
      <c r="T2010" s="753">
        <v>26258</v>
      </c>
      <c r="U2010" s="753">
        <v>2949</v>
      </c>
      <c r="V2010" s="751">
        <v>2019</v>
      </c>
      <c r="W2010" s="222"/>
      <c r="X2010" s="186"/>
      <c r="Y2010" s="178"/>
      <c r="Z2010" s="178"/>
      <c r="AA2010" s="44"/>
      <c r="AB2010" s="65"/>
      <c r="AC2010" s="40"/>
    </row>
    <row r="2011" spans="1:29" ht="25" hidden="1">
      <c r="A2011" s="751">
        <v>63291</v>
      </c>
      <c r="B2011" s="752" t="s">
        <v>35</v>
      </c>
      <c r="C2011" s="751" t="s">
        <v>2960</v>
      </c>
      <c r="D2011" s="752" t="s">
        <v>3175</v>
      </c>
      <c r="E2011" s="752" t="s">
        <v>3176</v>
      </c>
      <c r="F2011" s="751">
        <v>63059</v>
      </c>
      <c r="G2011" s="752" t="s">
        <v>59</v>
      </c>
      <c r="H2011" s="752" t="s">
        <v>1244</v>
      </c>
      <c r="I2011" s="752" t="s">
        <v>60</v>
      </c>
      <c r="J2011" s="751">
        <v>441</v>
      </c>
      <c r="K2011" s="751">
        <v>4</v>
      </c>
      <c r="L2011" s="752" t="s">
        <v>422</v>
      </c>
      <c r="M2011" s="752" t="s">
        <v>468</v>
      </c>
      <c r="N2011" s="752" t="s">
        <v>469</v>
      </c>
      <c r="O2011" s="752" t="s">
        <v>469</v>
      </c>
      <c r="P2011" s="752" t="s">
        <v>1238</v>
      </c>
      <c r="Q2011" s="753">
        <v>0</v>
      </c>
      <c r="R2011" s="753">
        <v>0</v>
      </c>
      <c r="S2011" s="753">
        <v>6679</v>
      </c>
      <c r="T2011" s="753">
        <v>6679</v>
      </c>
      <c r="U2011" s="753">
        <v>750</v>
      </c>
      <c r="V2011" s="751">
        <v>2019</v>
      </c>
      <c r="W2011" s="222"/>
      <c r="X2011" s="186"/>
      <c r="Y2011" s="178"/>
      <c r="Z2011" s="178"/>
      <c r="AA2011" s="44"/>
      <c r="AB2011" s="65"/>
      <c r="AC2011" s="40"/>
    </row>
    <row r="2012" spans="1:29" ht="25" hidden="1">
      <c r="A2012" s="751">
        <v>63292</v>
      </c>
      <c r="B2012" s="752" t="s">
        <v>35</v>
      </c>
      <c r="C2012" s="751" t="s">
        <v>2960</v>
      </c>
      <c r="D2012" s="752" t="s">
        <v>3177</v>
      </c>
      <c r="E2012" s="752" t="s">
        <v>3176</v>
      </c>
      <c r="F2012" s="751">
        <v>63059</v>
      </c>
      <c r="G2012" s="752" t="s">
        <v>59</v>
      </c>
      <c r="H2012" s="752" t="s">
        <v>1244</v>
      </c>
      <c r="I2012" s="752" t="s">
        <v>60</v>
      </c>
      <c r="J2012" s="751">
        <v>441</v>
      </c>
      <c r="K2012" s="751">
        <v>4</v>
      </c>
      <c r="L2012" s="752" t="s">
        <v>422</v>
      </c>
      <c r="M2012" s="752" t="s">
        <v>468</v>
      </c>
      <c r="N2012" s="752" t="s">
        <v>469</v>
      </c>
      <c r="O2012" s="752" t="s">
        <v>469</v>
      </c>
      <c r="P2012" s="752" t="s">
        <v>1238</v>
      </c>
      <c r="Q2012" s="753">
        <v>0</v>
      </c>
      <c r="R2012" s="753">
        <v>0</v>
      </c>
      <c r="S2012" s="753">
        <v>21968</v>
      </c>
      <c r="T2012" s="753">
        <v>21968</v>
      </c>
      <c r="U2012" s="753">
        <v>2467</v>
      </c>
      <c r="V2012" s="751">
        <v>2019</v>
      </c>
      <c r="W2012" s="222"/>
      <c r="X2012" s="186"/>
      <c r="Y2012" s="178"/>
      <c r="Z2012" s="178"/>
      <c r="AA2012" s="44"/>
      <c r="AB2012" s="65"/>
      <c r="AC2012" s="40"/>
    </row>
    <row r="2013" spans="1:29" ht="25" hidden="1">
      <c r="A2013" s="751">
        <v>63297</v>
      </c>
      <c r="B2013" s="752" t="s">
        <v>35</v>
      </c>
      <c r="C2013" s="751" t="s">
        <v>2960</v>
      </c>
      <c r="D2013" s="752" t="s">
        <v>3178</v>
      </c>
      <c r="E2013" s="752" t="s">
        <v>3164</v>
      </c>
      <c r="F2013" s="751">
        <v>62994</v>
      </c>
      <c r="G2013" s="752" t="s">
        <v>59</v>
      </c>
      <c r="H2013" s="752" t="s">
        <v>1244</v>
      </c>
      <c r="I2013" s="752" t="s">
        <v>60</v>
      </c>
      <c r="J2013" s="751">
        <v>611</v>
      </c>
      <c r="K2013" s="751">
        <v>4</v>
      </c>
      <c r="L2013" s="752" t="s">
        <v>422</v>
      </c>
      <c r="M2013" s="752" t="s">
        <v>468</v>
      </c>
      <c r="N2013" s="752" t="s">
        <v>469</v>
      </c>
      <c r="O2013" s="752" t="s">
        <v>469</v>
      </c>
      <c r="P2013" s="752" t="s">
        <v>1238</v>
      </c>
      <c r="Q2013" s="753">
        <v>0</v>
      </c>
      <c r="R2013" s="753">
        <v>0</v>
      </c>
      <c r="S2013" s="753">
        <v>25544</v>
      </c>
      <c r="T2013" s="753">
        <v>25544</v>
      </c>
      <c r="U2013" s="753">
        <v>2869</v>
      </c>
      <c r="V2013" s="751">
        <v>2019</v>
      </c>
      <c r="W2013" s="222"/>
      <c r="X2013" s="186"/>
      <c r="Y2013" s="178"/>
      <c r="Z2013" s="178"/>
      <c r="AA2013" s="44"/>
      <c r="AB2013" s="65"/>
      <c r="AC2013" s="40"/>
    </row>
    <row r="2014" spans="1:29" hidden="1">
      <c r="A2014" s="751">
        <v>63354</v>
      </c>
      <c r="B2014" s="752" t="s">
        <v>35</v>
      </c>
      <c r="C2014" s="751" t="s">
        <v>2960</v>
      </c>
      <c r="D2014" s="752" t="s">
        <v>3179</v>
      </c>
      <c r="E2014" s="752" t="s">
        <v>2643</v>
      </c>
      <c r="F2014" s="751">
        <v>62067</v>
      </c>
      <c r="G2014" s="752" t="s">
        <v>43</v>
      </c>
      <c r="H2014" s="752" t="s">
        <v>1245</v>
      </c>
      <c r="I2014" s="752" t="s">
        <v>60</v>
      </c>
      <c r="J2014" s="751">
        <v>22</v>
      </c>
      <c r="K2014" s="751">
        <v>2</v>
      </c>
      <c r="L2014" s="752" t="s">
        <v>54</v>
      </c>
      <c r="M2014" s="752" t="s">
        <v>468</v>
      </c>
      <c r="N2014" s="752" t="s">
        <v>469</v>
      </c>
      <c r="O2014" s="752" t="s">
        <v>469</v>
      </c>
      <c r="P2014" s="752" t="s">
        <v>1238</v>
      </c>
      <c r="Q2014" s="753">
        <v>0</v>
      </c>
      <c r="R2014" s="753">
        <v>0</v>
      </c>
      <c r="S2014" s="753">
        <v>9136</v>
      </c>
      <c r="T2014" s="753">
        <v>9136</v>
      </c>
      <c r="U2014" s="753">
        <v>1026</v>
      </c>
      <c r="V2014" s="751">
        <v>2019</v>
      </c>
      <c r="W2014" s="222"/>
      <c r="X2014" s="186"/>
      <c r="Y2014" s="178"/>
      <c r="Z2014" s="178"/>
      <c r="AA2014" s="44"/>
      <c r="AB2014" s="65"/>
      <c r="AC2014" s="40"/>
    </row>
    <row r="2015" spans="1:29" hidden="1">
      <c r="A2015" s="751">
        <v>63358</v>
      </c>
      <c r="B2015" s="752" t="s">
        <v>35</v>
      </c>
      <c r="C2015" s="751" t="s">
        <v>2960</v>
      </c>
      <c r="D2015" s="752" t="s">
        <v>3180</v>
      </c>
      <c r="E2015" s="752" t="s">
        <v>2643</v>
      </c>
      <c r="F2015" s="751">
        <v>62067</v>
      </c>
      <c r="G2015" s="752" t="s">
        <v>43</v>
      </c>
      <c r="H2015" s="752" t="s">
        <v>1245</v>
      </c>
      <c r="I2015" s="752" t="s">
        <v>60</v>
      </c>
      <c r="J2015" s="751">
        <v>22</v>
      </c>
      <c r="K2015" s="751">
        <v>2</v>
      </c>
      <c r="L2015" s="752" t="s">
        <v>54</v>
      </c>
      <c r="M2015" s="752" t="s">
        <v>468</v>
      </c>
      <c r="N2015" s="752" t="s">
        <v>469</v>
      </c>
      <c r="O2015" s="752" t="s">
        <v>469</v>
      </c>
      <c r="P2015" s="752" t="s">
        <v>1238</v>
      </c>
      <c r="Q2015" s="753">
        <v>0</v>
      </c>
      <c r="R2015" s="753">
        <v>0</v>
      </c>
      <c r="S2015" s="753">
        <v>9358</v>
      </c>
      <c r="T2015" s="753">
        <v>9358</v>
      </c>
      <c r="U2015" s="753">
        <v>1051</v>
      </c>
      <c r="V2015" s="751">
        <v>2019</v>
      </c>
      <c r="W2015" s="222"/>
      <c r="X2015" s="186"/>
      <c r="Y2015" s="178"/>
      <c r="Z2015" s="178"/>
      <c r="AA2015" s="44"/>
      <c r="AB2015" s="65"/>
      <c r="AC2015" s="40"/>
    </row>
    <row r="2016" spans="1:29" hidden="1">
      <c r="A2016" s="751">
        <v>63368</v>
      </c>
      <c r="B2016" s="752" t="s">
        <v>35</v>
      </c>
      <c r="C2016" s="751" t="s">
        <v>2960</v>
      </c>
      <c r="D2016" s="752" t="s">
        <v>3181</v>
      </c>
      <c r="E2016" s="752" t="s">
        <v>3110</v>
      </c>
      <c r="F2016" s="751">
        <v>62719</v>
      </c>
      <c r="G2016" s="752" t="s">
        <v>91</v>
      </c>
      <c r="H2016" s="752" t="s">
        <v>1245</v>
      </c>
      <c r="I2016" s="752" t="s">
        <v>60</v>
      </c>
      <c r="J2016" s="751">
        <v>22</v>
      </c>
      <c r="K2016" s="751">
        <v>2</v>
      </c>
      <c r="L2016" s="752" t="s">
        <v>54</v>
      </c>
      <c r="M2016" s="752" t="s">
        <v>468</v>
      </c>
      <c r="N2016" s="752" t="s">
        <v>469</v>
      </c>
      <c r="O2016" s="752" t="s">
        <v>469</v>
      </c>
      <c r="P2016" s="752" t="s">
        <v>1238</v>
      </c>
      <c r="Q2016" s="753">
        <v>0</v>
      </c>
      <c r="R2016" s="753">
        <v>0</v>
      </c>
      <c r="S2016" s="753">
        <v>26578</v>
      </c>
      <c r="T2016" s="753">
        <v>26578</v>
      </c>
      <c r="U2016" s="753">
        <v>2985</v>
      </c>
      <c r="V2016" s="751">
        <v>2019</v>
      </c>
      <c r="W2016" s="222"/>
      <c r="X2016" s="186"/>
      <c r="Y2016" s="178"/>
      <c r="Z2016" s="178"/>
      <c r="AA2016" s="44"/>
      <c r="AB2016" s="65"/>
      <c r="AC2016" s="40"/>
    </row>
    <row r="2017" spans="1:29" hidden="1">
      <c r="A2017" s="751">
        <v>63369</v>
      </c>
      <c r="B2017" s="752" t="s">
        <v>35</v>
      </c>
      <c r="C2017" s="751" t="s">
        <v>2960</v>
      </c>
      <c r="D2017" s="752" t="s">
        <v>3182</v>
      </c>
      <c r="E2017" s="752" t="s">
        <v>3110</v>
      </c>
      <c r="F2017" s="751">
        <v>62719</v>
      </c>
      <c r="G2017" s="752" t="s">
        <v>59</v>
      </c>
      <c r="H2017" s="752" t="s">
        <v>1244</v>
      </c>
      <c r="I2017" s="752" t="s">
        <v>60</v>
      </c>
      <c r="J2017" s="751">
        <v>22</v>
      </c>
      <c r="K2017" s="751">
        <v>2</v>
      </c>
      <c r="L2017" s="752" t="s">
        <v>54</v>
      </c>
      <c r="M2017" s="752" t="s">
        <v>468</v>
      </c>
      <c r="N2017" s="752" t="s">
        <v>469</v>
      </c>
      <c r="O2017" s="752" t="s">
        <v>469</v>
      </c>
      <c r="P2017" s="752" t="s">
        <v>1238</v>
      </c>
      <c r="Q2017" s="753">
        <v>0</v>
      </c>
      <c r="R2017" s="753">
        <v>0</v>
      </c>
      <c r="S2017" s="753">
        <v>13044</v>
      </c>
      <c r="T2017" s="753">
        <v>13044</v>
      </c>
      <c r="U2017" s="753">
        <v>1465</v>
      </c>
      <c r="V2017" s="751">
        <v>2019</v>
      </c>
      <c r="W2017" s="222"/>
      <c r="X2017" s="186"/>
      <c r="Y2017" s="178"/>
      <c r="Z2017" s="178"/>
      <c r="AA2017" s="44"/>
      <c r="AB2017" s="65"/>
      <c r="AC2017" s="40"/>
    </row>
    <row r="2018" spans="1:29" hidden="1">
      <c r="A2018" s="751">
        <v>63371</v>
      </c>
      <c r="B2018" s="752" t="s">
        <v>35</v>
      </c>
      <c r="C2018" s="751" t="s">
        <v>2960</v>
      </c>
      <c r="D2018" s="752" t="s">
        <v>3183</v>
      </c>
      <c r="E2018" s="752" t="s">
        <v>3110</v>
      </c>
      <c r="F2018" s="751">
        <v>62719</v>
      </c>
      <c r="G2018" s="752" t="s">
        <v>59</v>
      </c>
      <c r="H2018" s="752" t="s">
        <v>1244</v>
      </c>
      <c r="I2018" s="752" t="s">
        <v>60</v>
      </c>
      <c r="J2018" s="751">
        <v>22</v>
      </c>
      <c r="K2018" s="751">
        <v>2</v>
      </c>
      <c r="L2018" s="752" t="s">
        <v>54</v>
      </c>
      <c r="M2018" s="752" t="s">
        <v>468</v>
      </c>
      <c r="N2018" s="752" t="s">
        <v>469</v>
      </c>
      <c r="O2018" s="752" t="s">
        <v>469</v>
      </c>
      <c r="P2018" s="752" t="s">
        <v>1238</v>
      </c>
      <c r="Q2018" s="753">
        <v>0</v>
      </c>
      <c r="R2018" s="753">
        <v>0</v>
      </c>
      <c r="S2018" s="753">
        <v>0</v>
      </c>
      <c r="T2018" s="753">
        <v>0</v>
      </c>
      <c r="U2018" s="753">
        <v>0</v>
      </c>
      <c r="V2018" s="751">
        <v>2019</v>
      </c>
      <c r="W2018" s="222"/>
      <c r="X2018" s="186"/>
      <c r="Y2018" s="178"/>
      <c r="Z2018" s="178"/>
      <c r="AA2018" s="44"/>
      <c r="AB2018" s="65"/>
      <c r="AC2018" s="40"/>
    </row>
    <row r="2019" spans="1:29" hidden="1">
      <c r="A2019" s="751">
        <v>63372</v>
      </c>
      <c r="B2019" s="752" t="s">
        <v>35</v>
      </c>
      <c r="C2019" s="751" t="s">
        <v>2960</v>
      </c>
      <c r="D2019" s="752" t="s">
        <v>3184</v>
      </c>
      <c r="E2019" s="752" t="s">
        <v>3110</v>
      </c>
      <c r="F2019" s="751">
        <v>62719</v>
      </c>
      <c r="G2019" s="752" t="s">
        <v>59</v>
      </c>
      <c r="H2019" s="752" t="s">
        <v>1244</v>
      </c>
      <c r="I2019" s="752" t="s">
        <v>60</v>
      </c>
      <c r="J2019" s="751">
        <v>22</v>
      </c>
      <c r="K2019" s="751">
        <v>2</v>
      </c>
      <c r="L2019" s="752" t="s">
        <v>54</v>
      </c>
      <c r="M2019" s="752" t="s">
        <v>468</v>
      </c>
      <c r="N2019" s="752" t="s">
        <v>469</v>
      </c>
      <c r="O2019" s="752" t="s">
        <v>469</v>
      </c>
      <c r="P2019" s="752" t="s">
        <v>1238</v>
      </c>
      <c r="Q2019" s="753">
        <v>0</v>
      </c>
      <c r="R2019" s="753">
        <v>0</v>
      </c>
      <c r="S2019" s="753">
        <v>0</v>
      </c>
      <c r="T2019" s="753">
        <v>0</v>
      </c>
      <c r="U2019" s="753">
        <v>0</v>
      </c>
      <c r="V2019" s="751">
        <v>2019</v>
      </c>
      <c r="W2019" s="222"/>
      <c r="X2019" s="186"/>
      <c r="Y2019" s="178"/>
      <c r="Z2019" s="178"/>
      <c r="AA2019" s="44"/>
      <c r="AB2019" s="65"/>
      <c r="AC2019" s="40"/>
    </row>
    <row r="2020" spans="1:29" hidden="1">
      <c r="A2020" s="751">
        <v>63373</v>
      </c>
      <c r="B2020" s="752" t="s">
        <v>35</v>
      </c>
      <c r="C2020" s="751" t="s">
        <v>2960</v>
      </c>
      <c r="D2020" s="752" t="s">
        <v>3185</v>
      </c>
      <c r="E2020" s="752" t="s">
        <v>3110</v>
      </c>
      <c r="F2020" s="751">
        <v>62719</v>
      </c>
      <c r="G2020" s="752" t="s">
        <v>59</v>
      </c>
      <c r="H2020" s="752" t="s">
        <v>1244</v>
      </c>
      <c r="I2020" s="752" t="s">
        <v>60</v>
      </c>
      <c r="J2020" s="751">
        <v>22</v>
      </c>
      <c r="K2020" s="751">
        <v>2</v>
      </c>
      <c r="L2020" s="752" t="s">
        <v>54</v>
      </c>
      <c r="M2020" s="752" t="s">
        <v>468</v>
      </c>
      <c r="N2020" s="752" t="s">
        <v>469</v>
      </c>
      <c r="O2020" s="752" t="s">
        <v>469</v>
      </c>
      <c r="P2020" s="752" t="s">
        <v>1238</v>
      </c>
      <c r="Q2020" s="753">
        <v>0</v>
      </c>
      <c r="R2020" s="753">
        <v>0</v>
      </c>
      <c r="S2020" s="753">
        <v>0</v>
      </c>
      <c r="T2020" s="753">
        <v>0</v>
      </c>
      <c r="U2020" s="753">
        <v>0</v>
      </c>
      <c r="V2020" s="751">
        <v>2019</v>
      </c>
      <c r="W2020" s="222"/>
      <c r="X2020" s="186"/>
      <c r="Y2020" s="178"/>
      <c r="Z2020" s="178"/>
      <c r="AA2020" s="44"/>
      <c r="AB2020" s="65"/>
      <c r="AC2020" s="40"/>
    </row>
    <row r="2021" spans="1:29" hidden="1">
      <c r="A2021" s="751">
        <v>63374</v>
      </c>
      <c r="B2021" s="752" t="s">
        <v>35</v>
      </c>
      <c r="C2021" s="751" t="s">
        <v>2960</v>
      </c>
      <c r="D2021" s="752" t="s">
        <v>3186</v>
      </c>
      <c r="E2021" s="752" t="s">
        <v>3110</v>
      </c>
      <c r="F2021" s="751">
        <v>62719</v>
      </c>
      <c r="G2021" s="752" t="s">
        <v>43</v>
      </c>
      <c r="H2021" s="752" t="s">
        <v>1245</v>
      </c>
      <c r="I2021" s="752" t="s">
        <v>60</v>
      </c>
      <c r="J2021" s="751">
        <v>22</v>
      </c>
      <c r="K2021" s="751">
        <v>2</v>
      </c>
      <c r="L2021" s="752" t="s">
        <v>54</v>
      </c>
      <c r="M2021" s="752" t="s">
        <v>468</v>
      </c>
      <c r="N2021" s="752" t="s">
        <v>469</v>
      </c>
      <c r="O2021" s="752" t="s">
        <v>469</v>
      </c>
      <c r="P2021" s="752" t="s">
        <v>1238</v>
      </c>
      <c r="Q2021" s="753">
        <v>0</v>
      </c>
      <c r="R2021" s="753">
        <v>0</v>
      </c>
      <c r="S2021" s="753">
        <v>0</v>
      </c>
      <c r="T2021" s="753">
        <v>0</v>
      </c>
      <c r="U2021" s="753">
        <v>0</v>
      </c>
      <c r="V2021" s="751">
        <v>2019</v>
      </c>
      <c r="W2021" s="222"/>
      <c r="X2021" s="186"/>
      <c r="Y2021" s="178"/>
      <c r="Z2021" s="178"/>
      <c r="AA2021" s="44"/>
      <c r="AB2021" s="65"/>
      <c r="AC2021" s="40"/>
    </row>
    <row r="2022" spans="1:29" hidden="1">
      <c r="A2022" s="751">
        <v>63375</v>
      </c>
      <c r="B2022" s="752" t="s">
        <v>35</v>
      </c>
      <c r="C2022" s="751" t="s">
        <v>2960</v>
      </c>
      <c r="D2022" s="752" t="s">
        <v>3187</v>
      </c>
      <c r="E2022" s="752" t="s">
        <v>3110</v>
      </c>
      <c r="F2022" s="751">
        <v>62719</v>
      </c>
      <c r="G2022" s="752" t="s">
        <v>43</v>
      </c>
      <c r="H2022" s="752" t="s">
        <v>1245</v>
      </c>
      <c r="I2022" s="752" t="s">
        <v>60</v>
      </c>
      <c r="J2022" s="751">
        <v>22</v>
      </c>
      <c r="K2022" s="751">
        <v>2</v>
      </c>
      <c r="L2022" s="752" t="s">
        <v>54</v>
      </c>
      <c r="M2022" s="752" t="s">
        <v>468</v>
      </c>
      <c r="N2022" s="752" t="s">
        <v>469</v>
      </c>
      <c r="O2022" s="752" t="s">
        <v>469</v>
      </c>
      <c r="P2022" s="752" t="s">
        <v>1238</v>
      </c>
      <c r="Q2022" s="753">
        <v>0</v>
      </c>
      <c r="R2022" s="753">
        <v>0</v>
      </c>
      <c r="S2022" s="753">
        <v>0</v>
      </c>
      <c r="T2022" s="753">
        <v>0</v>
      </c>
      <c r="U2022" s="753">
        <v>0</v>
      </c>
      <c r="V2022" s="751">
        <v>2019</v>
      </c>
      <c r="W2022" s="222"/>
      <c r="X2022" s="186"/>
      <c r="Y2022" s="178"/>
      <c r="Z2022" s="178"/>
      <c r="AA2022" s="44"/>
      <c r="AB2022" s="65"/>
      <c r="AC2022" s="40"/>
    </row>
    <row r="2023" spans="1:29" ht="25" hidden="1">
      <c r="A2023" s="751">
        <v>63398</v>
      </c>
      <c r="B2023" s="752" t="s">
        <v>35</v>
      </c>
      <c r="C2023" s="751" t="s">
        <v>2960</v>
      </c>
      <c r="D2023" s="752" t="s">
        <v>3188</v>
      </c>
      <c r="E2023" s="752" t="s">
        <v>3189</v>
      </c>
      <c r="F2023" s="751">
        <v>63163</v>
      </c>
      <c r="G2023" s="752" t="s">
        <v>83</v>
      </c>
      <c r="H2023" s="752" t="s">
        <v>1245</v>
      </c>
      <c r="I2023" s="752" t="s">
        <v>60</v>
      </c>
      <c r="J2023" s="751">
        <v>22</v>
      </c>
      <c r="K2023" s="751">
        <v>2</v>
      </c>
      <c r="L2023" s="752" t="s">
        <v>54</v>
      </c>
      <c r="M2023" s="752" t="s">
        <v>2001</v>
      </c>
      <c r="N2023" s="752" t="s">
        <v>1107</v>
      </c>
      <c r="O2023" s="752" t="s">
        <v>84</v>
      </c>
      <c r="P2023" s="752" t="s">
        <v>2961</v>
      </c>
      <c r="Q2023" s="753">
        <v>0</v>
      </c>
      <c r="R2023" s="753">
        <v>0</v>
      </c>
      <c r="S2023" s="753">
        <v>0</v>
      </c>
      <c r="T2023" s="753">
        <v>0</v>
      </c>
      <c r="U2023" s="753">
        <v>0</v>
      </c>
      <c r="V2023" s="751">
        <v>2019</v>
      </c>
      <c r="W2023" s="222"/>
      <c r="X2023" s="186"/>
      <c r="Y2023" s="178"/>
      <c r="Z2023" s="178"/>
      <c r="AA2023" s="44"/>
      <c r="AB2023" s="65"/>
      <c r="AC2023" s="40"/>
    </row>
    <row r="2024" spans="1:29" hidden="1">
      <c r="A2024" s="751">
        <v>63398</v>
      </c>
      <c r="B2024" s="752" t="s">
        <v>35</v>
      </c>
      <c r="C2024" s="751" t="s">
        <v>2960</v>
      </c>
      <c r="D2024" s="752" t="s">
        <v>3188</v>
      </c>
      <c r="E2024" s="752" t="s">
        <v>3189</v>
      </c>
      <c r="F2024" s="751">
        <v>63163</v>
      </c>
      <c r="G2024" s="752" t="s">
        <v>83</v>
      </c>
      <c r="H2024" s="752" t="s">
        <v>1245</v>
      </c>
      <c r="I2024" s="752" t="s">
        <v>60</v>
      </c>
      <c r="J2024" s="751">
        <v>22</v>
      </c>
      <c r="K2024" s="751">
        <v>2</v>
      </c>
      <c r="L2024" s="752" t="s">
        <v>54</v>
      </c>
      <c r="M2024" s="752" t="s">
        <v>468</v>
      </c>
      <c r="N2024" s="752" t="s">
        <v>469</v>
      </c>
      <c r="O2024" s="752" t="s">
        <v>469</v>
      </c>
      <c r="P2024" s="752" t="s">
        <v>1238</v>
      </c>
      <c r="Q2024" s="753">
        <v>0</v>
      </c>
      <c r="R2024" s="753">
        <v>0</v>
      </c>
      <c r="S2024" s="753">
        <v>0</v>
      </c>
      <c r="T2024" s="753">
        <v>0</v>
      </c>
      <c r="U2024" s="753">
        <v>0</v>
      </c>
      <c r="V2024" s="751">
        <v>2019</v>
      </c>
      <c r="W2024" s="222"/>
      <c r="X2024" s="186"/>
      <c r="Y2024" s="178"/>
      <c r="Z2024" s="178"/>
      <c r="AA2024" s="44"/>
      <c r="AB2024" s="65"/>
      <c r="AC2024" s="40"/>
    </row>
    <row r="2025" spans="1:29" hidden="1">
      <c r="A2025" s="751">
        <v>63405</v>
      </c>
      <c r="B2025" s="752" t="s">
        <v>35</v>
      </c>
      <c r="C2025" s="751" t="s">
        <v>2960</v>
      </c>
      <c r="D2025" s="752" t="s">
        <v>3190</v>
      </c>
      <c r="E2025" s="752" t="s">
        <v>3144</v>
      </c>
      <c r="F2025" s="751">
        <v>62856</v>
      </c>
      <c r="G2025" s="752" t="s">
        <v>59</v>
      </c>
      <c r="H2025" s="752" t="s">
        <v>1244</v>
      </c>
      <c r="I2025" s="752" t="s">
        <v>60</v>
      </c>
      <c r="J2025" s="751">
        <v>22</v>
      </c>
      <c r="K2025" s="751">
        <v>2</v>
      </c>
      <c r="L2025" s="752" t="s">
        <v>54</v>
      </c>
      <c r="M2025" s="752" t="s">
        <v>468</v>
      </c>
      <c r="N2025" s="752" t="s">
        <v>469</v>
      </c>
      <c r="O2025" s="752" t="s">
        <v>469</v>
      </c>
      <c r="P2025" s="752" t="s">
        <v>1238</v>
      </c>
      <c r="Q2025" s="753">
        <v>0</v>
      </c>
      <c r="R2025" s="753">
        <v>0</v>
      </c>
      <c r="S2025" s="753">
        <v>23051</v>
      </c>
      <c r="T2025" s="753">
        <v>23051</v>
      </c>
      <c r="U2025" s="753">
        <v>2589</v>
      </c>
      <c r="V2025" s="751">
        <v>2019</v>
      </c>
      <c r="W2025" s="222"/>
      <c r="X2025" s="186"/>
      <c r="Y2025" s="178"/>
      <c r="Z2025" s="178"/>
      <c r="AA2025" s="44"/>
      <c r="AB2025" s="65"/>
      <c r="AC2025" s="40"/>
    </row>
    <row r="2026" spans="1:29" hidden="1">
      <c r="A2026" s="751">
        <v>63407</v>
      </c>
      <c r="B2026" s="752" t="s">
        <v>35</v>
      </c>
      <c r="C2026" s="751" t="s">
        <v>2960</v>
      </c>
      <c r="D2026" s="752" t="s">
        <v>3191</v>
      </c>
      <c r="E2026" s="752" t="s">
        <v>3192</v>
      </c>
      <c r="F2026" s="751">
        <v>63004</v>
      </c>
      <c r="G2026" s="752" t="s">
        <v>59</v>
      </c>
      <c r="H2026" s="752" t="s">
        <v>1244</v>
      </c>
      <c r="I2026" s="752" t="s">
        <v>60</v>
      </c>
      <c r="J2026" s="751">
        <v>22</v>
      </c>
      <c r="K2026" s="751">
        <v>2</v>
      </c>
      <c r="L2026" s="752" t="s">
        <v>54</v>
      </c>
      <c r="M2026" s="752" t="s">
        <v>468</v>
      </c>
      <c r="N2026" s="752" t="s">
        <v>469</v>
      </c>
      <c r="O2026" s="752" t="s">
        <v>469</v>
      </c>
      <c r="P2026" s="752" t="s">
        <v>1238</v>
      </c>
      <c r="Q2026" s="753">
        <v>0</v>
      </c>
      <c r="R2026" s="753">
        <v>0</v>
      </c>
      <c r="S2026" s="753">
        <v>28358</v>
      </c>
      <c r="T2026" s="753">
        <v>28358</v>
      </c>
      <c r="U2026" s="753">
        <v>3185</v>
      </c>
      <c r="V2026" s="751">
        <v>2019</v>
      </c>
      <c r="W2026" s="222"/>
      <c r="X2026" s="186"/>
      <c r="Y2026" s="178"/>
      <c r="Z2026" s="178"/>
      <c r="AA2026" s="44"/>
      <c r="AB2026" s="65"/>
      <c r="AC2026" s="40"/>
    </row>
    <row r="2027" spans="1:29" hidden="1">
      <c r="A2027" s="751">
        <v>63408</v>
      </c>
      <c r="B2027" s="752" t="s">
        <v>35</v>
      </c>
      <c r="C2027" s="751" t="s">
        <v>2960</v>
      </c>
      <c r="D2027" s="752" t="s">
        <v>3193</v>
      </c>
      <c r="E2027" s="752" t="s">
        <v>3192</v>
      </c>
      <c r="F2027" s="751">
        <v>63004</v>
      </c>
      <c r="G2027" s="752" t="s">
        <v>59</v>
      </c>
      <c r="H2027" s="752" t="s">
        <v>1244</v>
      </c>
      <c r="I2027" s="752" t="s">
        <v>60</v>
      </c>
      <c r="J2027" s="751">
        <v>22</v>
      </c>
      <c r="K2027" s="751">
        <v>2</v>
      </c>
      <c r="L2027" s="752" t="s">
        <v>54</v>
      </c>
      <c r="M2027" s="752" t="s">
        <v>468</v>
      </c>
      <c r="N2027" s="752" t="s">
        <v>469</v>
      </c>
      <c r="O2027" s="752" t="s">
        <v>469</v>
      </c>
      <c r="P2027" s="752" t="s">
        <v>1238</v>
      </c>
      <c r="Q2027" s="753">
        <v>0</v>
      </c>
      <c r="R2027" s="753">
        <v>0</v>
      </c>
      <c r="S2027" s="753">
        <v>35340</v>
      </c>
      <c r="T2027" s="753">
        <v>35340</v>
      </c>
      <c r="U2027" s="753">
        <v>3969</v>
      </c>
      <c r="V2027" s="751">
        <v>2019</v>
      </c>
      <c r="W2027" s="222"/>
      <c r="X2027" s="186"/>
      <c r="Y2027" s="178"/>
      <c r="Z2027" s="178"/>
      <c r="AA2027" s="44"/>
      <c r="AB2027" s="65"/>
      <c r="AC2027" s="40"/>
    </row>
    <row r="2028" spans="1:29" hidden="1">
      <c r="A2028" s="751">
        <v>63409</v>
      </c>
      <c r="B2028" s="752" t="s">
        <v>35</v>
      </c>
      <c r="C2028" s="751" t="s">
        <v>2960</v>
      </c>
      <c r="D2028" s="752" t="s">
        <v>3194</v>
      </c>
      <c r="E2028" s="752" t="s">
        <v>3192</v>
      </c>
      <c r="F2028" s="751">
        <v>63004</v>
      </c>
      <c r="G2028" s="752" t="s">
        <v>59</v>
      </c>
      <c r="H2028" s="752" t="s">
        <v>1244</v>
      </c>
      <c r="I2028" s="752" t="s">
        <v>60</v>
      </c>
      <c r="J2028" s="751">
        <v>22</v>
      </c>
      <c r="K2028" s="751">
        <v>2</v>
      </c>
      <c r="L2028" s="752" t="s">
        <v>54</v>
      </c>
      <c r="M2028" s="752" t="s">
        <v>468</v>
      </c>
      <c r="N2028" s="752" t="s">
        <v>469</v>
      </c>
      <c r="O2028" s="752" t="s">
        <v>469</v>
      </c>
      <c r="P2028" s="752" t="s">
        <v>1238</v>
      </c>
      <c r="Q2028" s="753">
        <v>0</v>
      </c>
      <c r="R2028" s="753">
        <v>0</v>
      </c>
      <c r="S2028" s="753">
        <v>29080</v>
      </c>
      <c r="T2028" s="753">
        <v>29080</v>
      </c>
      <c r="U2028" s="753">
        <v>3266</v>
      </c>
      <c r="V2028" s="751">
        <v>2019</v>
      </c>
      <c r="W2028" s="222"/>
      <c r="X2028" s="186"/>
      <c r="Y2028" s="178"/>
      <c r="Z2028" s="178"/>
      <c r="AA2028" s="44"/>
      <c r="AB2028" s="65"/>
      <c r="AC2028" s="40"/>
    </row>
    <row r="2029" spans="1:29" hidden="1">
      <c r="A2029" s="751">
        <v>63410</v>
      </c>
      <c r="B2029" s="752" t="s">
        <v>35</v>
      </c>
      <c r="C2029" s="751" t="s">
        <v>2960</v>
      </c>
      <c r="D2029" s="752" t="s">
        <v>3195</v>
      </c>
      <c r="E2029" s="752" t="s">
        <v>3192</v>
      </c>
      <c r="F2029" s="751">
        <v>63004</v>
      </c>
      <c r="G2029" s="752" t="s">
        <v>59</v>
      </c>
      <c r="H2029" s="752" t="s">
        <v>1244</v>
      </c>
      <c r="I2029" s="752" t="s">
        <v>60</v>
      </c>
      <c r="J2029" s="751">
        <v>22</v>
      </c>
      <c r="K2029" s="751">
        <v>2</v>
      </c>
      <c r="L2029" s="752" t="s">
        <v>54</v>
      </c>
      <c r="M2029" s="752" t="s">
        <v>468</v>
      </c>
      <c r="N2029" s="752" t="s">
        <v>469</v>
      </c>
      <c r="O2029" s="752" t="s">
        <v>469</v>
      </c>
      <c r="P2029" s="752" t="s">
        <v>1238</v>
      </c>
      <c r="Q2029" s="753">
        <v>0</v>
      </c>
      <c r="R2029" s="753">
        <v>0</v>
      </c>
      <c r="S2029" s="753">
        <v>21789</v>
      </c>
      <c r="T2029" s="753">
        <v>21789</v>
      </c>
      <c r="U2029" s="753">
        <v>2447</v>
      </c>
      <c r="V2029" s="751">
        <v>2019</v>
      </c>
      <c r="W2029" s="222"/>
      <c r="X2029" s="186"/>
      <c r="Y2029" s="178"/>
      <c r="Z2029" s="178"/>
      <c r="AA2029" s="44"/>
      <c r="AB2029" s="65"/>
      <c r="AC2029" s="40"/>
    </row>
    <row r="2030" spans="1:29">
      <c r="A2030" s="751">
        <v>63438</v>
      </c>
      <c r="B2030" s="752" t="s">
        <v>56</v>
      </c>
      <c r="C2030" s="751" t="s">
        <v>2960</v>
      </c>
      <c r="D2030" s="752" t="s">
        <v>3196</v>
      </c>
      <c r="E2030" s="752" t="s">
        <v>3197</v>
      </c>
      <c r="F2030" s="751">
        <v>61939</v>
      </c>
      <c r="G2030" s="752" t="s">
        <v>43</v>
      </c>
      <c r="H2030" s="752" t="s">
        <v>1245</v>
      </c>
      <c r="I2030" s="752" t="s">
        <v>60</v>
      </c>
      <c r="J2030" s="751">
        <v>22</v>
      </c>
      <c r="K2030" s="751">
        <v>3</v>
      </c>
      <c r="L2030" s="752" t="s">
        <v>57</v>
      </c>
      <c r="M2030" s="752" t="s">
        <v>1322</v>
      </c>
      <c r="N2030" s="752" t="s">
        <v>41</v>
      </c>
      <c r="O2030" s="752" t="s">
        <v>41</v>
      </c>
      <c r="P2030" s="752" t="s">
        <v>1091</v>
      </c>
      <c r="Q2030" s="753">
        <v>92224</v>
      </c>
      <c r="R2030" s="753">
        <v>92224</v>
      </c>
      <c r="S2030" s="753">
        <v>85308</v>
      </c>
      <c r="T2030" s="753">
        <v>85308</v>
      </c>
      <c r="U2030" s="753">
        <v>10674</v>
      </c>
      <c r="V2030" s="751">
        <v>2019</v>
      </c>
      <c r="W2030" s="222"/>
      <c r="X2030" s="186"/>
      <c r="Y2030" s="178"/>
      <c r="Z2030" s="178"/>
      <c r="AA2030" s="44"/>
      <c r="AB2030" s="65"/>
      <c r="AC2030" s="40"/>
    </row>
    <row r="2031" spans="1:29" hidden="1">
      <c r="A2031" s="751">
        <v>63450</v>
      </c>
      <c r="B2031" s="752" t="s">
        <v>35</v>
      </c>
      <c r="C2031" s="751" t="s">
        <v>2960</v>
      </c>
      <c r="D2031" s="752" t="s">
        <v>3198</v>
      </c>
      <c r="E2031" s="752" t="s">
        <v>1735</v>
      </c>
      <c r="F2031" s="751">
        <v>58871</v>
      </c>
      <c r="G2031" s="752" t="s">
        <v>59</v>
      </c>
      <c r="H2031" s="752" t="s">
        <v>1244</v>
      </c>
      <c r="I2031" s="752" t="s">
        <v>60</v>
      </c>
      <c r="J2031" s="751">
        <v>22</v>
      </c>
      <c r="K2031" s="751">
        <v>2</v>
      </c>
      <c r="L2031" s="752" t="s">
        <v>54</v>
      </c>
      <c r="M2031" s="752" t="s">
        <v>468</v>
      </c>
      <c r="N2031" s="752" t="s">
        <v>469</v>
      </c>
      <c r="O2031" s="752" t="s">
        <v>469</v>
      </c>
      <c r="P2031" s="752" t="s">
        <v>1238</v>
      </c>
      <c r="Q2031" s="753">
        <v>0</v>
      </c>
      <c r="R2031" s="753">
        <v>0</v>
      </c>
      <c r="S2031" s="753">
        <v>0</v>
      </c>
      <c r="T2031" s="753">
        <v>0</v>
      </c>
      <c r="U2031" s="753">
        <v>0</v>
      </c>
      <c r="V2031" s="751">
        <v>2019</v>
      </c>
      <c r="W2031" s="222"/>
      <c r="X2031" s="186"/>
      <c r="Y2031" s="178"/>
      <c r="Z2031" s="178"/>
      <c r="AA2031" s="44"/>
      <c r="AB2031" s="65"/>
      <c r="AC2031" s="40"/>
    </row>
    <row r="2032" spans="1:29" hidden="1">
      <c r="A2032" s="751">
        <v>63497</v>
      </c>
      <c r="B2032" s="752" t="s">
        <v>35</v>
      </c>
      <c r="C2032" s="751" t="s">
        <v>2960</v>
      </c>
      <c r="D2032" s="752" t="s">
        <v>3199</v>
      </c>
      <c r="E2032" s="752" t="s">
        <v>2544</v>
      </c>
      <c r="F2032" s="751">
        <v>61514</v>
      </c>
      <c r="G2032" s="752" t="s">
        <v>59</v>
      </c>
      <c r="H2032" s="752" t="s">
        <v>1244</v>
      </c>
      <c r="I2032" s="752" t="s">
        <v>60</v>
      </c>
      <c r="J2032" s="751">
        <v>22</v>
      </c>
      <c r="K2032" s="751">
        <v>2</v>
      </c>
      <c r="L2032" s="752" t="s">
        <v>54</v>
      </c>
      <c r="M2032" s="752" t="s">
        <v>468</v>
      </c>
      <c r="N2032" s="752" t="s">
        <v>469</v>
      </c>
      <c r="O2032" s="752" t="s">
        <v>469</v>
      </c>
      <c r="P2032" s="752" t="s">
        <v>1238</v>
      </c>
      <c r="Q2032" s="753">
        <v>0</v>
      </c>
      <c r="R2032" s="753">
        <v>0</v>
      </c>
      <c r="S2032" s="753">
        <v>0</v>
      </c>
      <c r="T2032" s="753">
        <v>0</v>
      </c>
      <c r="U2032" s="753">
        <v>0</v>
      </c>
      <c r="V2032" s="751">
        <v>2019</v>
      </c>
      <c r="W2032" s="222"/>
      <c r="X2032" s="186"/>
      <c r="Y2032" s="178"/>
      <c r="Z2032" s="178"/>
      <c r="AA2032" s="44"/>
      <c r="AB2032" s="65"/>
      <c r="AC2032" s="40"/>
    </row>
    <row r="2033" spans="1:29" hidden="1">
      <c r="A2033" s="751">
        <v>63498</v>
      </c>
      <c r="B2033" s="752" t="s">
        <v>35</v>
      </c>
      <c r="C2033" s="751" t="s">
        <v>2960</v>
      </c>
      <c r="D2033" s="752" t="s">
        <v>3200</v>
      </c>
      <c r="E2033" s="752" t="s">
        <v>2544</v>
      </c>
      <c r="F2033" s="751">
        <v>61514</v>
      </c>
      <c r="G2033" s="752" t="s">
        <v>59</v>
      </c>
      <c r="H2033" s="752" t="s">
        <v>1244</v>
      </c>
      <c r="I2033" s="752" t="s">
        <v>60</v>
      </c>
      <c r="J2033" s="751">
        <v>22</v>
      </c>
      <c r="K2033" s="751">
        <v>2</v>
      </c>
      <c r="L2033" s="752" t="s">
        <v>54</v>
      </c>
      <c r="M2033" s="752" t="s">
        <v>468</v>
      </c>
      <c r="N2033" s="752" t="s">
        <v>469</v>
      </c>
      <c r="O2033" s="752" t="s">
        <v>469</v>
      </c>
      <c r="P2033" s="752" t="s">
        <v>1238</v>
      </c>
      <c r="Q2033" s="753">
        <v>0</v>
      </c>
      <c r="R2033" s="753">
        <v>0</v>
      </c>
      <c r="S2033" s="753">
        <v>0</v>
      </c>
      <c r="T2033" s="753">
        <v>0</v>
      </c>
      <c r="U2033" s="753">
        <v>0</v>
      </c>
      <c r="V2033" s="751">
        <v>2019</v>
      </c>
      <c r="W2033" s="222"/>
      <c r="X2033" s="186"/>
      <c r="Y2033" s="178"/>
      <c r="Z2033" s="178"/>
      <c r="AA2033" s="44"/>
      <c r="AB2033" s="65"/>
      <c r="AC2033" s="40"/>
    </row>
    <row r="2034" spans="1:29" hidden="1">
      <c r="A2034" s="751">
        <v>63511</v>
      </c>
      <c r="B2034" s="752" t="s">
        <v>35</v>
      </c>
      <c r="C2034" s="751" t="s">
        <v>2960</v>
      </c>
      <c r="D2034" s="752" t="s">
        <v>3201</v>
      </c>
      <c r="E2034" s="752" t="s">
        <v>2040</v>
      </c>
      <c r="F2034" s="751">
        <v>60947</v>
      </c>
      <c r="G2034" s="752" t="s">
        <v>59</v>
      </c>
      <c r="H2034" s="752" t="s">
        <v>1244</v>
      </c>
      <c r="I2034" s="752" t="s">
        <v>60</v>
      </c>
      <c r="J2034" s="751">
        <v>22</v>
      </c>
      <c r="K2034" s="751">
        <v>2</v>
      </c>
      <c r="L2034" s="752" t="s">
        <v>54</v>
      </c>
      <c r="M2034" s="752" t="s">
        <v>468</v>
      </c>
      <c r="N2034" s="752" t="s">
        <v>469</v>
      </c>
      <c r="O2034" s="752" t="s">
        <v>469</v>
      </c>
      <c r="P2034" s="752" t="s">
        <v>1238</v>
      </c>
      <c r="Q2034" s="753">
        <v>0</v>
      </c>
      <c r="R2034" s="753">
        <v>0</v>
      </c>
      <c r="S2034" s="753">
        <v>3144</v>
      </c>
      <c r="T2034" s="753">
        <v>3144</v>
      </c>
      <c r="U2034" s="753">
        <v>353</v>
      </c>
      <c r="V2034" s="751">
        <v>2019</v>
      </c>
      <c r="W2034" s="222"/>
      <c r="X2034" s="186"/>
      <c r="Y2034" s="178"/>
      <c r="Z2034" s="178"/>
      <c r="AA2034" s="44"/>
      <c r="AB2034" s="65"/>
      <c r="AC2034" s="40"/>
    </row>
    <row r="2035" spans="1:29" hidden="1">
      <c r="A2035" s="751">
        <v>63537</v>
      </c>
      <c r="B2035" s="752" t="s">
        <v>35</v>
      </c>
      <c r="C2035" s="751" t="s">
        <v>2960</v>
      </c>
      <c r="D2035" s="752" t="s">
        <v>3202</v>
      </c>
      <c r="E2035" s="752" t="s">
        <v>3203</v>
      </c>
      <c r="F2035" s="751">
        <v>63259</v>
      </c>
      <c r="G2035" s="752" t="s">
        <v>43</v>
      </c>
      <c r="H2035" s="752" t="s">
        <v>1245</v>
      </c>
      <c r="I2035" s="752" t="s">
        <v>60</v>
      </c>
      <c r="J2035" s="751">
        <v>22</v>
      </c>
      <c r="K2035" s="751">
        <v>2</v>
      </c>
      <c r="L2035" s="752" t="s">
        <v>54</v>
      </c>
      <c r="M2035" s="752" t="s">
        <v>468</v>
      </c>
      <c r="N2035" s="752" t="s">
        <v>469</v>
      </c>
      <c r="O2035" s="752" t="s">
        <v>469</v>
      </c>
      <c r="P2035" s="752" t="s">
        <v>1238</v>
      </c>
      <c r="Q2035" s="753">
        <v>0</v>
      </c>
      <c r="R2035" s="753">
        <v>0</v>
      </c>
      <c r="S2035" s="753">
        <v>3241</v>
      </c>
      <c r="T2035" s="753">
        <v>3241</v>
      </c>
      <c r="U2035" s="753">
        <v>364</v>
      </c>
      <c r="V2035" s="751">
        <v>2019</v>
      </c>
      <c r="W2035" s="222"/>
      <c r="X2035" s="186"/>
      <c r="Y2035" s="178"/>
      <c r="Z2035" s="178"/>
      <c r="AA2035" s="44"/>
      <c r="AB2035" s="65"/>
      <c r="AC2035" s="40"/>
    </row>
    <row r="2036" spans="1:29" hidden="1">
      <c r="A2036" s="751">
        <v>63555</v>
      </c>
      <c r="B2036" s="752" t="s">
        <v>35</v>
      </c>
      <c r="C2036" s="751" t="s">
        <v>2960</v>
      </c>
      <c r="D2036" s="752" t="s">
        <v>3204</v>
      </c>
      <c r="E2036" s="752" t="s">
        <v>3205</v>
      </c>
      <c r="F2036" s="751">
        <v>63281</v>
      </c>
      <c r="G2036" s="752" t="s">
        <v>83</v>
      </c>
      <c r="H2036" s="752" t="s">
        <v>1245</v>
      </c>
      <c r="I2036" s="752" t="s">
        <v>60</v>
      </c>
      <c r="J2036" s="751">
        <v>22</v>
      </c>
      <c r="K2036" s="751">
        <v>2</v>
      </c>
      <c r="L2036" s="752" t="s">
        <v>54</v>
      </c>
      <c r="M2036" s="752" t="s">
        <v>468</v>
      </c>
      <c r="N2036" s="752" t="s">
        <v>469</v>
      </c>
      <c r="O2036" s="752" t="s">
        <v>469</v>
      </c>
      <c r="P2036" s="752" t="s">
        <v>1238</v>
      </c>
      <c r="Q2036" s="753">
        <v>0</v>
      </c>
      <c r="R2036" s="753">
        <v>0</v>
      </c>
      <c r="S2036" s="753">
        <v>14532</v>
      </c>
      <c r="T2036" s="753">
        <v>14532</v>
      </c>
      <c r="U2036" s="753">
        <v>1632</v>
      </c>
      <c r="V2036" s="751">
        <v>2019</v>
      </c>
      <c r="W2036" s="222"/>
      <c r="X2036" s="186"/>
      <c r="Y2036" s="178"/>
      <c r="Z2036" s="178"/>
      <c r="AA2036" s="44"/>
      <c r="AB2036" s="65"/>
      <c r="AC2036" s="40"/>
    </row>
    <row r="2037" spans="1:29" hidden="1">
      <c r="A2037" s="751">
        <v>63556</v>
      </c>
      <c r="B2037" s="752" t="s">
        <v>35</v>
      </c>
      <c r="C2037" s="751" t="s">
        <v>2960</v>
      </c>
      <c r="D2037" s="752" t="s">
        <v>3206</v>
      </c>
      <c r="E2037" s="752" t="s">
        <v>3205</v>
      </c>
      <c r="F2037" s="751">
        <v>63281</v>
      </c>
      <c r="G2037" s="752" t="s">
        <v>83</v>
      </c>
      <c r="H2037" s="752" t="s">
        <v>1245</v>
      </c>
      <c r="I2037" s="752" t="s">
        <v>60</v>
      </c>
      <c r="J2037" s="751">
        <v>22</v>
      </c>
      <c r="K2037" s="751">
        <v>2</v>
      </c>
      <c r="L2037" s="752" t="s">
        <v>54</v>
      </c>
      <c r="M2037" s="752" t="s">
        <v>468</v>
      </c>
      <c r="N2037" s="752" t="s">
        <v>469</v>
      </c>
      <c r="O2037" s="752" t="s">
        <v>469</v>
      </c>
      <c r="P2037" s="752" t="s">
        <v>1238</v>
      </c>
      <c r="Q2037" s="753">
        <v>0</v>
      </c>
      <c r="R2037" s="753">
        <v>0</v>
      </c>
      <c r="S2037" s="753">
        <v>41155</v>
      </c>
      <c r="T2037" s="753">
        <v>41155</v>
      </c>
      <c r="U2037" s="753">
        <v>4622</v>
      </c>
      <c r="V2037" s="751">
        <v>2019</v>
      </c>
      <c r="W2037" s="222"/>
      <c r="X2037" s="186"/>
      <c r="Y2037" s="178"/>
      <c r="Z2037" s="178"/>
      <c r="AA2037" s="44"/>
      <c r="AB2037" s="65"/>
      <c r="AC2037" s="40"/>
    </row>
    <row r="2038" spans="1:29" hidden="1">
      <c r="A2038" s="751">
        <v>63557</v>
      </c>
      <c r="B2038" s="752" t="s">
        <v>35</v>
      </c>
      <c r="C2038" s="751" t="s">
        <v>2960</v>
      </c>
      <c r="D2038" s="752" t="s">
        <v>3207</v>
      </c>
      <c r="E2038" s="752" t="s">
        <v>3205</v>
      </c>
      <c r="F2038" s="751">
        <v>63281</v>
      </c>
      <c r="G2038" s="752" t="s">
        <v>83</v>
      </c>
      <c r="H2038" s="752" t="s">
        <v>1245</v>
      </c>
      <c r="I2038" s="752" t="s">
        <v>60</v>
      </c>
      <c r="J2038" s="751">
        <v>22</v>
      </c>
      <c r="K2038" s="751">
        <v>2</v>
      </c>
      <c r="L2038" s="752" t="s">
        <v>54</v>
      </c>
      <c r="M2038" s="752" t="s">
        <v>468</v>
      </c>
      <c r="N2038" s="752" t="s">
        <v>469</v>
      </c>
      <c r="O2038" s="752" t="s">
        <v>469</v>
      </c>
      <c r="P2038" s="752" t="s">
        <v>1238</v>
      </c>
      <c r="Q2038" s="753">
        <v>0</v>
      </c>
      <c r="R2038" s="753">
        <v>0</v>
      </c>
      <c r="S2038" s="753">
        <v>14359</v>
      </c>
      <c r="T2038" s="753">
        <v>14359</v>
      </c>
      <c r="U2038" s="753">
        <v>1613</v>
      </c>
      <c r="V2038" s="751">
        <v>2019</v>
      </c>
      <c r="W2038" s="222"/>
      <c r="X2038" s="186"/>
      <c r="Y2038" s="178"/>
      <c r="Z2038" s="178"/>
      <c r="AA2038" s="44"/>
      <c r="AB2038" s="65"/>
      <c r="AC2038" s="40"/>
    </row>
    <row r="2039" spans="1:29" hidden="1">
      <c r="A2039" s="751">
        <v>63558</v>
      </c>
      <c r="B2039" s="752" t="s">
        <v>35</v>
      </c>
      <c r="C2039" s="751" t="s">
        <v>2960</v>
      </c>
      <c r="D2039" s="752" t="s">
        <v>3208</v>
      </c>
      <c r="E2039" s="752" t="s">
        <v>3205</v>
      </c>
      <c r="F2039" s="751">
        <v>63281</v>
      </c>
      <c r="G2039" s="752" t="s">
        <v>83</v>
      </c>
      <c r="H2039" s="752" t="s">
        <v>1245</v>
      </c>
      <c r="I2039" s="752" t="s">
        <v>60</v>
      </c>
      <c r="J2039" s="751">
        <v>22</v>
      </c>
      <c r="K2039" s="751">
        <v>2</v>
      </c>
      <c r="L2039" s="752" t="s">
        <v>54</v>
      </c>
      <c r="M2039" s="752" t="s">
        <v>468</v>
      </c>
      <c r="N2039" s="752" t="s">
        <v>469</v>
      </c>
      <c r="O2039" s="752" t="s">
        <v>469</v>
      </c>
      <c r="P2039" s="752" t="s">
        <v>1238</v>
      </c>
      <c r="Q2039" s="753">
        <v>0</v>
      </c>
      <c r="R2039" s="753">
        <v>0</v>
      </c>
      <c r="S2039" s="753">
        <v>14576</v>
      </c>
      <c r="T2039" s="753">
        <v>14576</v>
      </c>
      <c r="U2039" s="753">
        <v>1637</v>
      </c>
      <c r="V2039" s="751">
        <v>2019</v>
      </c>
      <c r="W2039" s="222"/>
      <c r="X2039" s="186"/>
      <c r="Y2039" s="178"/>
      <c r="Z2039" s="178"/>
      <c r="AA2039" s="44"/>
      <c r="AB2039" s="65"/>
      <c r="AC2039" s="40"/>
    </row>
    <row r="2040" spans="1:29" hidden="1">
      <c r="A2040" s="751">
        <v>63561</v>
      </c>
      <c r="B2040" s="752" t="s">
        <v>35</v>
      </c>
      <c r="C2040" s="751" t="s">
        <v>2960</v>
      </c>
      <c r="D2040" s="752" t="s">
        <v>3209</v>
      </c>
      <c r="E2040" s="752" t="s">
        <v>3205</v>
      </c>
      <c r="F2040" s="751">
        <v>63281</v>
      </c>
      <c r="G2040" s="752" t="s">
        <v>83</v>
      </c>
      <c r="H2040" s="752" t="s">
        <v>1245</v>
      </c>
      <c r="I2040" s="752" t="s">
        <v>60</v>
      </c>
      <c r="J2040" s="751">
        <v>22</v>
      </c>
      <c r="K2040" s="751">
        <v>2</v>
      </c>
      <c r="L2040" s="752" t="s">
        <v>54</v>
      </c>
      <c r="M2040" s="752" t="s">
        <v>468</v>
      </c>
      <c r="N2040" s="752" t="s">
        <v>469</v>
      </c>
      <c r="O2040" s="752" t="s">
        <v>469</v>
      </c>
      <c r="P2040" s="752" t="s">
        <v>1238</v>
      </c>
      <c r="Q2040" s="753">
        <v>0</v>
      </c>
      <c r="R2040" s="753">
        <v>0</v>
      </c>
      <c r="S2040" s="753">
        <v>13909</v>
      </c>
      <c r="T2040" s="753">
        <v>13909</v>
      </c>
      <c r="U2040" s="753">
        <v>1562</v>
      </c>
      <c r="V2040" s="751">
        <v>2019</v>
      </c>
      <c r="W2040" s="222"/>
      <c r="X2040" s="186"/>
      <c r="Y2040" s="178"/>
      <c r="Z2040" s="178"/>
      <c r="AA2040" s="44"/>
      <c r="AB2040" s="65"/>
      <c r="AC2040" s="40"/>
    </row>
    <row r="2041" spans="1:29" hidden="1">
      <c r="A2041" s="751">
        <v>63562</v>
      </c>
      <c r="B2041" s="752" t="s">
        <v>35</v>
      </c>
      <c r="C2041" s="751" t="s">
        <v>2960</v>
      </c>
      <c r="D2041" s="752" t="s">
        <v>3210</v>
      </c>
      <c r="E2041" s="752" t="s">
        <v>3205</v>
      </c>
      <c r="F2041" s="751">
        <v>63281</v>
      </c>
      <c r="G2041" s="752" t="s">
        <v>83</v>
      </c>
      <c r="H2041" s="752" t="s">
        <v>1245</v>
      </c>
      <c r="I2041" s="752" t="s">
        <v>60</v>
      </c>
      <c r="J2041" s="751">
        <v>22</v>
      </c>
      <c r="K2041" s="751">
        <v>2</v>
      </c>
      <c r="L2041" s="752" t="s">
        <v>54</v>
      </c>
      <c r="M2041" s="752" t="s">
        <v>468</v>
      </c>
      <c r="N2041" s="752" t="s">
        <v>469</v>
      </c>
      <c r="O2041" s="752" t="s">
        <v>469</v>
      </c>
      <c r="P2041" s="752" t="s">
        <v>1238</v>
      </c>
      <c r="Q2041" s="753">
        <v>0</v>
      </c>
      <c r="R2041" s="753">
        <v>0</v>
      </c>
      <c r="S2041" s="753">
        <v>31734</v>
      </c>
      <c r="T2041" s="753">
        <v>31734</v>
      </c>
      <c r="U2041" s="753">
        <v>3564</v>
      </c>
      <c r="V2041" s="751">
        <v>2019</v>
      </c>
      <c r="W2041" s="222"/>
      <c r="X2041" s="186"/>
      <c r="Y2041" s="178"/>
      <c r="Z2041" s="178"/>
      <c r="AA2041" s="44"/>
      <c r="AB2041" s="65"/>
      <c r="AC2041" s="40"/>
    </row>
    <row r="2042" spans="1:29" hidden="1">
      <c r="A2042" s="751">
        <v>63563</v>
      </c>
      <c r="B2042" s="752" t="s">
        <v>35</v>
      </c>
      <c r="C2042" s="751" t="s">
        <v>2960</v>
      </c>
      <c r="D2042" s="752" t="s">
        <v>3211</v>
      </c>
      <c r="E2042" s="752" t="s">
        <v>3205</v>
      </c>
      <c r="F2042" s="751">
        <v>63281</v>
      </c>
      <c r="G2042" s="752" t="s">
        <v>83</v>
      </c>
      <c r="H2042" s="752" t="s">
        <v>1245</v>
      </c>
      <c r="I2042" s="752" t="s">
        <v>60</v>
      </c>
      <c r="J2042" s="751">
        <v>22</v>
      </c>
      <c r="K2042" s="751">
        <v>2</v>
      </c>
      <c r="L2042" s="752" t="s">
        <v>54</v>
      </c>
      <c r="M2042" s="752" t="s">
        <v>468</v>
      </c>
      <c r="N2042" s="752" t="s">
        <v>469</v>
      </c>
      <c r="O2042" s="752" t="s">
        <v>469</v>
      </c>
      <c r="P2042" s="752" t="s">
        <v>1238</v>
      </c>
      <c r="Q2042" s="753">
        <v>0</v>
      </c>
      <c r="R2042" s="753">
        <v>0</v>
      </c>
      <c r="S2042" s="753">
        <v>31859</v>
      </c>
      <c r="T2042" s="753">
        <v>31859</v>
      </c>
      <c r="U2042" s="753">
        <v>3578</v>
      </c>
      <c r="V2042" s="751">
        <v>2019</v>
      </c>
      <c r="W2042" s="222"/>
      <c r="X2042" s="186"/>
      <c r="Y2042" s="178"/>
      <c r="Z2042" s="178"/>
      <c r="AA2042" s="44"/>
      <c r="AB2042" s="65"/>
      <c r="AC2042" s="40"/>
    </row>
    <row r="2043" spans="1:29" hidden="1">
      <c r="A2043" s="751">
        <v>63564</v>
      </c>
      <c r="B2043" s="752" t="s">
        <v>35</v>
      </c>
      <c r="C2043" s="751" t="s">
        <v>2960</v>
      </c>
      <c r="D2043" s="752" t="s">
        <v>3212</v>
      </c>
      <c r="E2043" s="752" t="s">
        <v>3205</v>
      </c>
      <c r="F2043" s="751">
        <v>63281</v>
      </c>
      <c r="G2043" s="752" t="s">
        <v>83</v>
      </c>
      <c r="H2043" s="752" t="s">
        <v>1245</v>
      </c>
      <c r="I2043" s="752" t="s">
        <v>60</v>
      </c>
      <c r="J2043" s="751">
        <v>22</v>
      </c>
      <c r="K2043" s="751">
        <v>2</v>
      </c>
      <c r="L2043" s="752" t="s">
        <v>54</v>
      </c>
      <c r="M2043" s="752" t="s">
        <v>468</v>
      </c>
      <c r="N2043" s="752" t="s">
        <v>469</v>
      </c>
      <c r="O2043" s="752" t="s">
        <v>469</v>
      </c>
      <c r="P2043" s="752" t="s">
        <v>1238</v>
      </c>
      <c r="Q2043" s="753">
        <v>0</v>
      </c>
      <c r="R2043" s="753">
        <v>0</v>
      </c>
      <c r="S2043" s="753">
        <v>13838</v>
      </c>
      <c r="T2043" s="753">
        <v>13838</v>
      </c>
      <c r="U2043" s="753">
        <v>1554</v>
      </c>
      <c r="V2043" s="751">
        <v>2019</v>
      </c>
      <c r="W2043" s="222"/>
      <c r="X2043" s="186"/>
      <c r="Y2043" s="178"/>
      <c r="Z2043" s="178"/>
      <c r="AA2043" s="44"/>
      <c r="AB2043" s="65"/>
      <c r="AC2043" s="40"/>
    </row>
    <row r="2044" spans="1:29" hidden="1">
      <c r="A2044" s="751">
        <v>63565</v>
      </c>
      <c r="B2044" s="752" t="s">
        <v>35</v>
      </c>
      <c r="C2044" s="751" t="s">
        <v>2960</v>
      </c>
      <c r="D2044" s="752" t="s">
        <v>3213</v>
      </c>
      <c r="E2044" s="752" t="s">
        <v>3205</v>
      </c>
      <c r="F2044" s="751">
        <v>63281</v>
      </c>
      <c r="G2044" s="752" t="s">
        <v>83</v>
      </c>
      <c r="H2044" s="752" t="s">
        <v>1245</v>
      </c>
      <c r="I2044" s="752" t="s">
        <v>60</v>
      </c>
      <c r="J2044" s="751">
        <v>22</v>
      </c>
      <c r="K2044" s="751">
        <v>2</v>
      </c>
      <c r="L2044" s="752" t="s">
        <v>54</v>
      </c>
      <c r="M2044" s="752" t="s">
        <v>468</v>
      </c>
      <c r="N2044" s="752" t="s">
        <v>469</v>
      </c>
      <c r="O2044" s="752" t="s">
        <v>469</v>
      </c>
      <c r="P2044" s="752" t="s">
        <v>1238</v>
      </c>
      <c r="Q2044" s="753">
        <v>0</v>
      </c>
      <c r="R2044" s="753">
        <v>0</v>
      </c>
      <c r="S2044" s="753">
        <v>14487</v>
      </c>
      <c r="T2044" s="753">
        <v>14487</v>
      </c>
      <c r="U2044" s="753">
        <v>1627</v>
      </c>
      <c r="V2044" s="751">
        <v>2019</v>
      </c>
      <c r="W2044" s="222"/>
      <c r="X2044" s="186"/>
      <c r="Y2044" s="178"/>
      <c r="Z2044" s="178"/>
      <c r="AA2044" s="44"/>
      <c r="AB2044" s="65"/>
      <c r="AC2044" s="40"/>
    </row>
    <row r="2045" spans="1:29" hidden="1">
      <c r="A2045" s="751">
        <v>63569</v>
      </c>
      <c r="B2045" s="752" t="s">
        <v>35</v>
      </c>
      <c r="C2045" s="751" t="s">
        <v>2960</v>
      </c>
      <c r="D2045" s="752" t="s">
        <v>3214</v>
      </c>
      <c r="E2045" s="752" t="s">
        <v>3205</v>
      </c>
      <c r="F2045" s="751">
        <v>63281</v>
      </c>
      <c r="G2045" s="752" t="s">
        <v>83</v>
      </c>
      <c r="H2045" s="752" t="s">
        <v>1245</v>
      </c>
      <c r="I2045" s="752" t="s">
        <v>60</v>
      </c>
      <c r="J2045" s="751">
        <v>22</v>
      </c>
      <c r="K2045" s="751">
        <v>2</v>
      </c>
      <c r="L2045" s="752" t="s">
        <v>54</v>
      </c>
      <c r="M2045" s="752" t="s">
        <v>468</v>
      </c>
      <c r="N2045" s="752" t="s">
        <v>469</v>
      </c>
      <c r="O2045" s="752" t="s">
        <v>469</v>
      </c>
      <c r="P2045" s="752" t="s">
        <v>1238</v>
      </c>
      <c r="Q2045" s="753">
        <v>0</v>
      </c>
      <c r="R2045" s="753">
        <v>0</v>
      </c>
      <c r="S2045" s="753">
        <v>15119</v>
      </c>
      <c r="T2045" s="753">
        <v>15119</v>
      </c>
      <c r="U2045" s="753">
        <v>1698</v>
      </c>
      <c r="V2045" s="751">
        <v>2019</v>
      </c>
      <c r="W2045" s="222"/>
      <c r="X2045" s="186"/>
      <c r="Y2045" s="178"/>
      <c r="Z2045" s="178"/>
      <c r="AA2045" s="44"/>
      <c r="AB2045" s="65"/>
      <c r="AC2045" s="40"/>
    </row>
    <row r="2046" spans="1:29" hidden="1">
      <c r="A2046" s="751">
        <v>63570</v>
      </c>
      <c r="B2046" s="752" t="s">
        <v>35</v>
      </c>
      <c r="C2046" s="751" t="s">
        <v>2960</v>
      </c>
      <c r="D2046" s="752" t="s">
        <v>3215</v>
      </c>
      <c r="E2046" s="752" t="s">
        <v>3205</v>
      </c>
      <c r="F2046" s="751">
        <v>63281</v>
      </c>
      <c r="G2046" s="752" t="s">
        <v>83</v>
      </c>
      <c r="H2046" s="752" t="s">
        <v>1245</v>
      </c>
      <c r="I2046" s="752" t="s">
        <v>60</v>
      </c>
      <c r="J2046" s="751">
        <v>22</v>
      </c>
      <c r="K2046" s="751">
        <v>2</v>
      </c>
      <c r="L2046" s="752" t="s">
        <v>54</v>
      </c>
      <c r="M2046" s="752" t="s">
        <v>468</v>
      </c>
      <c r="N2046" s="752" t="s">
        <v>469</v>
      </c>
      <c r="O2046" s="752" t="s">
        <v>469</v>
      </c>
      <c r="P2046" s="752" t="s">
        <v>1238</v>
      </c>
      <c r="Q2046" s="753">
        <v>0</v>
      </c>
      <c r="R2046" s="753">
        <v>0</v>
      </c>
      <c r="S2046" s="753">
        <v>14620</v>
      </c>
      <c r="T2046" s="753">
        <v>14620</v>
      </c>
      <c r="U2046" s="753">
        <v>1642</v>
      </c>
      <c r="V2046" s="751">
        <v>2019</v>
      </c>
      <c r="W2046" s="222"/>
      <c r="X2046" s="186"/>
      <c r="Y2046" s="178"/>
      <c r="Z2046" s="178"/>
      <c r="AA2046" s="44"/>
      <c r="AB2046" s="65"/>
      <c r="AC2046" s="40"/>
    </row>
    <row r="2047" spans="1:29" hidden="1">
      <c r="A2047" s="751">
        <v>63571</v>
      </c>
      <c r="B2047" s="752" t="s">
        <v>35</v>
      </c>
      <c r="C2047" s="751" t="s">
        <v>2960</v>
      </c>
      <c r="D2047" s="752" t="s">
        <v>3216</v>
      </c>
      <c r="E2047" s="752" t="s">
        <v>3205</v>
      </c>
      <c r="F2047" s="751">
        <v>63281</v>
      </c>
      <c r="G2047" s="752" t="s">
        <v>83</v>
      </c>
      <c r="H2047" s="752" t="s">
        <v>1245</v>
      </c>
      <c r="I2047" s="752" t="s">
        <v>60</v>
      </c>
      <c r="J2047" s="751">
        <v>22</v>
      </c>
      <c r="K2047" s="751">
        <v>2</v>
      </c>
      <c r="L2047" s="752" t="s">
        <v>54</v>
      </c>
      <c r="M2047" s="752" t="s">
        <v>468</v>
      </c>
      <c r="N2047" s="752" t="s">
        <v>469</v>
      </c>
      <c r="O2047" s="752" t="s">
        <v>469</v>
      </c>
      <c r="P2047" s="752" t="s">
        <v>1238</v>
      </c>
      <c r="Q2047" s="753">
        <v>0</v>
      </c>
      <c r="R2047" s="753">
        <v>0</v>
      </c>
      <c r="S2047" s="753">
        <v>14986</v>
      </c>
      <c r="T2047" s="753">
        <v>14986</v>
      </c>
      <c r="U2047" s="753">
        <v>1683</v>
      </c>
      <c r="V2047" s="751">
        <v>2019</v>
      </c>
      <c r="W2047" s="222"/>
      <c r="X2047" s="186"/>
      <c r="Y2047" s="178"/>
      <c r="Z2047" s="178"/>
      <c r="AA2047" s="44"/>
      <c r="AB2047" s="65"/>
      <c r="AC2047" s="40"/>
    </row>
    <row r="2048" spans="1:29" hidden="1">
      <c r="A2048" s="751">
        <v>63572</v>
      </c>
      <c r="B2048" s="752" t="s">
        <v>35</v>
      </c>
      <c r="C2048" s="751" t="s">
        <v>2960</v>
      </c>
      <c r="D2048" s="752" t="s">
        <v>3217</v>
      </c>
      <c r="E2048" s="752" t="s">
        <v>3205</v>
      </c>
      <c r="F2048" s="751">
        <v>63281</v>
      </c>
      <c r="G2048" s="752" t="s">
        <v>83</v>
      </c>
      <c r="H2048" s="752" t="s">
        <v>1245</v>
      </c>
      <c r="I2048" s="752" t="s">
        <v>60</v>
      </c>
      <c r="J2048" s="751">
        <v>22</v>
      </c>
      <c r="K2048" s="751">
        <v>2</v>
      </c>
      <c r="L2048" s="752" t="s">
        <v>54</v>
      </c>
      <c r="M2048" s="752" t="s">
        <v>468</v>
      </c>
      <c r="N2048" s="752" t="s">
        <v>469</v>
      </c>
      <c r="O2048" s="752" t="s">
        <v>469</v>
      </c>
      <c r="P2048" s="752" t="s">
        <v>1238</v>
      </c>
      <c r="Q2048" s="753">
        <v>0</v>
      </c>
      <c r="R2048" s="753">
        <v>0</v>
      </c>
      <c r="S2048" s="753">
        <v>12768</v>
      </c>
      <c r="T2048" s="753">
        <v>12768</v>
      </c>
      <c r="U2048" s="753">
        <v>1434</v>
      </c>
      <c r="V2048" s="751">
        <v>2019</v>
      </c>
      <c r="W2048" s="222"/>
      <c r="X2048" s="186"/>
      <c r="Y2048" s="178"/>
      <c r="Z2048" s="178"/>
      <c r="AA2048" s="44"/>
      <c r="AB2048" s="65"/>
      <c r="AC2048" s="40"/>
    </row>
    <row r="2049" spans="1:29" hidden="1">
      <c r="A2049" s="751">
        <v>63573</v>
      </c>
      <c r="B2049" s="752" t="s">
        <v>35</v>
      </c>
      <c r="C2049" s="751" t="s">
        <v>2960</v>
      </c>
      <c r="D2049" s="752" t="s">
        <v>3218</v>
      </c>
      <c r="E2049" s="752" t="s">
        <v>3205</v>
      </c>
      <c r="F2049" s="751">
        <v>63281</v>
      </c>
      <c r="G2049" s="752" t="s">
        <v>83</v>
      </c>
      <c r="H2049" s="752" t="s">
        <v>1245</v>
      </c>
      <c r="I2049" s="752" t="s">
        <v>60</v>
      </c>
      <c r="J2049" s="751">
        <v>22</v>
      </c>
      <c r="K2049" s="751">
        <v>2</v>
      </c>
      <c r="L2049" s="752" t="s">
        <v>54</v>
      </c>
      <c r="M2049" s="752" t="s">
        <v>468</v>
      </c>
      <c r="N2049" s="752" t="s">
        <v>469</v>
      </c>
      <c r="O2049" s="752" t="s">
        <v>469</v>
      </c>
      <c r="P2049" s="752" t="s">
        <v>1238</v>
      </c>
      <c r="Q2049" s="753">
        <v>0</v>
      </c>
      <c r="R2049" s="753">
        <v>0</v>
      </c>
      <c r="S2049" s="753">
        <v>13732</v>
      </c>
      <c r="T2049" s="753">
        <v>13732</v>
      </c>
      <c r="U2049" s="753">
        <v>1542</v>
      </c>
      <c r="V2049" s="751">
        <v>2019</v>
      </c>
      <c r="W2049" s="222"/>
      <c r="X2049" s="186"/>
      <c r="Y2049" s="178"/>
      <c r="Z2049" s="178"/>
      <c r="AA2049" s="44"/>
      <c r="AB2049" s="65"/>
      <c r="AC2049" s="40"/>
    </row>
    <row r="2050" spans="1:29" hidden="1">
      <c r="A2050" s="751">
        <v>63588</v>
      </c>
      <c r="B2050" s="752" t="s">
        <v>35</v>
      </c>
      <c r="C2050" s="751" t="s">
        <v>2960</v>
      </c>
      <c r="D2050" s="752" t="s">
        <v>3219</v>
      </c>
      <c r="E2050" s="752" t="s">
        <v>3205</v>
      </c>
      <c r="F2050" s="751">
        <v>63281</v>
      </c>
      <c r="G2050" s="752" t="s">
        <v>83</v>
      </c>
      <c r="H2050" s="752" t="s">
        <v>1245</v>
      </c>
      <c r="I2050" s="752" t="s">
        <v>60</v>
      </c>
      <c r="J2050" s="751">
        <v>22</v>
      </c>
      <c r="K2050" s="751">
        <v>2</v>
      </c>
      <c r="L2050" s="752" t="s">
        <v>54</v>
      </c>
      <c r="M2050" s="752" t="s">
        <v>468</v>
      </c>
      <c r="N2050" s="752" t="s">
        <v>469</v>
      </c>
      <c r="O2050" s="752" t="s">
        <v>469</v>
      </c>
      <c r="P2050" s="752" t="s">
        <v>1238</v>
      </c>
      <c r="Q2050" s="753">
        <v>0</v>
      </c>
      <c r="R2050" s="753">
        <v>0</v>
      </c>
      <c r="S2050" s="753">
        <v>29320</v>
      </c>
      <c r="T2050" s="753">
        <v>29320</v>
      </c>
      <c r="U2050" s="753">
        <v>3293</v>
      </c>
      <c r="V2050" s="751">
        <v>2019</v>
      </c>
      <c r="W2050" s="222"/>
      <c r="X2050" s="186"/>
      <c r="Y2050" s="178"/>
      <c r="Z2050" s="178"/>
      <c r="AA2050" s="44"/>
      <c r="AB2050" s="65"/>
      <c r="AC2050" s="40"/>
    </row>
    <row r="2051" spans="1:29" hidden="1">
      <c r="A2051" s="751">
        <v>63589</v>
      </c>
      <c r="B2051" s="752" t="s">
        <v>35</v>
      </c>
      <c r="C2051" s="751" t="s">
        <v>2960</v>
      </c>
      <c r="D2051" s="752" t="s">
        <v>3220</v>
      </c>
      <c r="E2051" s="752" t="s">
        <v>3205</v>
      </c>
      <c r="F2051" s="751">
        <v>63281</v>
      </c>
      <c r="G2051" s="752" t="s">
        <v>83</v>
      </c>
      <c r="H2051" s="752" t="s">
        <v>1245</v>
      </c>
      <c r="I2051" s="752" t="s">
        <v>60</v>
      </c>
      <c r="J2051" s="751">
        <v>22</v>
      </c>
      <c r="K2051" s="751">
        <v>2</v>
      </c>
      <c r="L2051" s="752" t="s">
        <v>54</v>
      </c>
      <c r="M2051" s="752" t="s">
        <v>468</v>
      </c>
      <c r="N2051" s="752" t="s">
        <v>469</v>
      </c>
      <c r="O2051" s="752" t="s">
        <v>469</v>
      </c>
      <c r="P2051" s="752" t="s">
        <v>1238</v>
      </c>
      <c r="Q2051" s="753">
        <v>0</v>
      </c>
      <c r="R2051" s="753">
        <v>0</v>
      </c>
      <c r="S2051" s="753">
        <v>13863</v>
      </c>
      <c r="T2051" s="753">
        <v>13863</v>
      </c>
      <c r="U2051" s="753">
        <v>1557</v>
      </c>
      <c r="V2051" s="751">
        <v>2019</v>
      </c>
      <c r="W2051" s="222"/>
      <c r="X2051" s="186"/>
      <c r="Y2051" s="178"/>
      <c r="Z2051" s="178"/>
      <c r="AA2051" s="44"/>
      <c r="AB2051" s="65"/>
      <c r="AC2051" s="40"/>
    </row>
    <row r="2052" spans="1:29" ht="25" hidden="1">
      <c r="A2052" s="751">
        <v>63637</v>
      </c>
      <c r="B2052" s="752" t="s">
        <v>35</v>
      </c>
      <c r="C2052" s="751" t="s">
        <v>2960</v>
      </c>
      <c r="D2052" s="752" t="s">
        <v>3221</v>
      </c>
      <c r="E2052" s="752" t="s">
        <v>1890</v>
      </c>
      <c r="F2052" s="751">
        <v>57128</v>
      </c>
      <c r="G2052" s="752" t="s">
        <v>83</v>
      </c>
      <c r="H2052" s="752" t="s">
        <v>1245</v>
      </c>
      <c r="I2052" s="752" t="s">
        <v>60</v>
      </c>
      <c r="J2052" s="751">
        <v>711</v>
      </c>
      <c r="K2052" s="751">
        <v>4</v>
      </c>
      <c r="L2052" s="752" t="s">
        <v>422</v>
      </c>
      <c r="M2052" s="752" t="s">
        <v>1322</v>
      </c>
      <c r="N2052" s="752" t="s">
        <v>41</v>
      </c>
      <c r="O2052" s="752" t="s">
        <v>41</v>
      </c>
      <c r="P2052" s="752" t="s">
        <v>1091</v>
      </c>
      <c r="Q2052" s="753">
        <v>3810</v>
      </c>
      <c r="R2052" s="753">
        <v>3810</v>
      </c>
      <c r="S2052" s="753">
        <v>3924</v>
      </c>
      <c r="T2052" s="753">
        <v>3924</v>
      </c>
      <c r="U2052" s="753">
        <v>588</v>
      </c>
      <c r="V2052" s="751">
        <v>2019</v>
      </c>
      <c r="W2052" s="222"/>
      <c r="X2052" s="186"/>
      <c r="Y2052" s="178"/>
      <c r="Z2052" s="178"/>
      <c r="AA2052" s="44"/>
      <c r="AB2052" s="65"/>
      <c r="AC2052" s="40"/>
    </row>
    <row r="2053" spans="1:29">
      <c r="A2053" s="751">
        <v>63647</v>
      </c>
      <c r="B2053" s="752" t="s">
        <v>35</v>
      </c>
      <c r="C2053" s="751" t="s">
        <v>2960</v>
      </c>
      <c r="D2053" s="752" t="s">
        <v>3222</v>
      </c>
      <c r="E2053" s="752" t="s">
        <v>3223</v>
      </c>
      <c r="F2053" s="751">
        <v>62150</v>
      </c>
      <c r="G2053" s="752" t="s">
        <v>59</v>
      </c>
      <c r="H2053" s="752" t="s">
        <v>1244</v>
      </c>
      <c r="I2053" s="752" t="s">
        <v>60</v>
      </c>
      <c r="J2053" s="751">
        <v>22</v>
      </c>
      <c r="K2053" s="751">
        <v>2</v>
      </c>
      <c r="L2053" s="752" t="s">
        <v>54</v>
      </c>
      <c r="M2053" s="752" t="s">
        <v>1322</v>
      </c>
      <c r="N2053" s="752" t="s">
        <v>41</v>
      </c>
      <c r="O2053" s="752" t="s">
        <v>41</v>
      </c>
      <c r="P2053" s="752" t="s">
        <v>1091</v>
      </c>
      <c r="Q2053" s="753">
        <v>94588</v>
      </c>
      <c r="R2053" s="753">
        <v>94588</v>
      </c>
      <c r="S2053" s="753">
        <v>97899</v>
      </c>
      <c r="T2053" s="753">
        <v>97899</v>
      </c>
      <c r="U2053" s="753">
        <v>14692</v>
      </c>
      <c r="V2053" s="751">
        <v>2019</v>
      </c>
      <c r="W2053" s="222"/>
      <c r="X2053" s="186"/>
      <c r="Y2053" s="178"/>
      <c r="Z2053" s="178"/>
      <c r="AA2053" s="44"/>
      <c r="AB2053" s="65"/>
      <c r="AC2053" s="40"/>
    </row>
    <row r="2054" spans="1:29">
      <c r="A2054" s="751">
        <v>63648</v>
      </c>
      <c r="B2054" s="752" t="s">
        <v>35</v>
      </c>
      <c r="C2054" s="751" t="s">
        <v>2960</v>
      </c>
      <c r="D2054" s="752" t="s">
        <v>3224</v>
      </c>
      <c r="E2054" s="752" t="s">
        <v>3223</v>
      </c>
      <c r="F2054" s="751">
        <v>62150</v>
      </c>
      <c r="G2054" s="752" t="s">
        <v>59</v>
      </c>
      <c r="H2054" s="752" t="s">
        <v>1244</v>
      </c>
      <c r="I2054" s="752" t="s">
        <v>60</v>
      </c>
      <c r="J2054" s="751">
        <v>22</v>
      </c>
      <c r="K2054" s="751">
        <v>2</v>
      </c>
      <c r="L2054" s="752" t="s">
        <v>54</v>
      </c>
      <c r="M2054" s="752" t="s">
        <v>1322</v>
      </c>
      <c r="N2054" s="752" t="s">
        <v>41</v>
      </c>
      <c r="O2054" s="752" t="s">
        <v>41</v>
      </c>
      <c r="P2054" s="752" t="s">
        <v>1091</v>
      </c>
      <c r="Q2054" s="753">
        <v>59160</v>
      </c>
      <c r="R2054" s="753">
        <v>59160</v>
      </c>
      <c r="S2054" s="753">
        <v>61231</v>
      </c>
      <c r="T2054" s="753">
        <v>61231</v>
      </c>
      <c r="U2054" s="753">
        <v>9364</v>
      </c>
      <c r="V2054" s="751">
        <v>2019</v>
      </c>
      <c r="W2054" s="222"/>
      <c r="X2054" s="186"/>
      <c r="Y2054" s="178"/>
      <c r="Z2054" s="178"/>
      <c r="AA2054" s="44"/>
      <c r="AB2054" s="65"/>
      <c r="AC2054" s="40"/>
    </row>
    <row r="2055" spans="1:29">
      <c r="A2055" s="751">
        <v>63649</v>
      </c>
      <c r="B2055" s="752" t="s">
        <v>35</v>
      </c>
      <c r="C2055" s="751" t="s">
        <v>2960</v>
      </c>
      <c r="D2055" s="752" t="s">
        <v>3225</v>
      </c>
      <c r="E2055" s="752" t="s">
        <v>3223</v>
      </c>
      <c r="F2055" s="751">
        <v>62150</v>
      </c>
      <c r="G2055" s="752" t="s">
        <v>59</v>
      </c>
      <c r="H2055" s="752" t="s">
        <v>1244</v>
      </c>
      <c r="I2055" s="752" t="s">
        <v>60</v>
      </c>
      <c r="J2055" s="751">
        <v>22</v>
      </c>
      <c r="K2055" s="751">
        <v>2</v>
      </c>
      <c r="L2055" s="752" t="s">
        <v>54</v>
      </c>
      <c r="M2055" s="752" t="s">
        <v>1322</v>
      </c>
      <c r="N2055" s="752" t="s">
        <v>41</v>
      </c>
      <c r="O2055" s="752" t="s">
        <v>41</v>
      </c>
      <c r="P2055" s="752" t="s">
        <v>1091</v>
      </c>
      <c r="Q2055" s="753">
        <v>53471</v>
      </c>
      <c r="R2055" s="753">
        <v>53471</v>
      </c>
      <c r="S2055" s="753">
        <v>55342</v>
      </c>
      <c r="T2055" s="753">
        <v>55342</v>
      </c>
      <c r="U2055" s="753">
        <v>8579</v>
      </c>
      <c r="V2055" s="751">
        <v>2019</v>
      </c>
      <c r="W2055" s="222"/>
      <c r="X2055" s="186"/>
      <c r="Y2055" s="178"/>
      <c r="Z2055" s="178"/>
      <c r="AA2055" s="44"/>
      <c r="AB2055" s="65"/>
      <c r="AC2055" s="40"/>
    </row>
    <row r="2056" spans="1:29" hidden="1">
      <c r="A2056" s="751">
        <v>63659</v>
      </c>
      <c r="B2056" s="752" t="s">
        <v>35</v>
      </c>
      <c r="C2056" s="751" t="s">
        <v>2960</v>
      </c>
      <c r="D2056" s="752" t="s">
        <v>3226</v>
      </c>
      <c r="E2056" s="752" t="s">
        <v>3227</v>
      </c>
      <c r="F2056" s="751">
        <v>63368</v>
      </c>
      <c r="G2056" s="752" t="s">
        <v>83</v>
      </c>
      <c r="H2056" s="752" t="s">
        <v>1245</v>
      </c>
      <c r="I2056" s="752" t="s">
        <v>60</v>
      </c>
      <c r="J2056" s="751">
        <v>22</v>
      </c>
      <c r="K2056" s="751">
        <v>2</v>
      </c>
      <c r="L2056" s="752" t="s">
        <v>54</v>
      </c>
      <c r="M2056" s="752" t="s">
        <v>468</v>
      </c>
      <c r="N2056" s="752" t="s">
        <v>469</v>
      </c>
      <c r="O2056" s="752" t="s">
        <v>469</v>
      </c>
      <c r="P2056" s="752" t="s">
        <v>1238</v>
      </c>
      <c r="Q2056" s="753">
        <v>0</v>
      </c>
      <c r="R2056" s="753">
        <v>0</v>
      </c>
      <c r="S2056" s="753">
        <v>26828</v>
      </c>
      <c r="T2056" s="753">
        <v>26828</v>
      </c>
      <c r="U2056" s="753">
        <v>3013</v>
      </c>
      <c r="V2056" s="751">
        <v>2019</v>
      </c>
      <c r="W2056" s="222"/>
      <c r="X2056" s="186"/>
      <c r="Y2056" s="178"/>
      <c r="Z2056" s="178"/>
      <c r="AA2056" s="44"/>
      <c r="AB2056" s="65"/>
      <c r="AC2056" s="40"/>
    </row>
    <row r="2057" spans="1:29" hidden="1">
      <c r="A2057" s="751">
        <v>63668</v>
      </c>
      <c r="B2057" s="752" t="s">
        <v>35</v>
      </c>
      <c r="C2057" s="751" t="s">
        <v>2960</v>
      </c>
      <c r="D2057" s="752" t="s">
        <v>3228</v>
      </c>
      <c r="E2057" s="752" t="s">
        <v>2340</v>
      </c>
      <c r="F2057" s="751">
        <v>61012</v>
      </c>
      <c r="G2057" s="752" t="s">
        <v>136</v>
      </c>
      <c r="H2057" s="752" t="s">
        <v>1245</v>
      </c>
      <c r="I2057" s="752" t="s">
        <v>60</v>
      </c>
      <c r="J2057" s="751">
        <v>22</v>
      </c>
      <c r="K2057" s="751">
        <v>2</v>
      </c>
      <c r="L2057" s="752" t="s">
        <v>54</v>
      </c>
      <c r="M2057" s="752" t="s">
        <v>468</v>
      </c>
      <c r="N2057" s="752" t="s">
        <v>469</v>
      </c>
      <c r="O2057" s="752" t="s">
        <v>469</v>
      </c>
      <c r="P2057" s="752" t="s">
        <v>1238</v>
      </c>
      <c r="Q2057" s="753">
        <v>0</v>
      </c>
      <c r="R2057" s="753">
        <v>0</v>
      </c>
      <c r="S2057" s="753">
        <v>0</v>
      </c>
      <c r="T2057" s="753">
        <v>0</v>
      </c>
      <c r="U2057" s="753">
        <v>0</v>
      </c>
      <c r="V2057" s="751">
        <v>2019</v>
      </c>
      <c r="W2057" s="222"/>
      <c r="X2057" s="186"/>
      <c r="Y2057" s="178"/>
      <c r="Z2057" s="178"/>
      <c r="AA2057" s="44"/>
      <c r="AB2057" s="65"/>
      <c r="AC2057" s="40"/>
    </row>
    <row r="2058" spans="1:29" hidden="1">
      <c r="A2058" s="751">
        <v>63672</v>
      </c>
      <c r="B2058" s="752" t="s">
        <v>35</v>
      </c>
      <c r="C2058" s="751" t="s">
        <v>2960</v>
      </c>
      <c r="D2058" s="752" t="s">
        <v>3229</v>
      </c>
      <c r="E2058" s="752" t="s">
        <v>3230</v>
      </c>
      <c r="F2058" s="751">
        <v>63391</v>
      </c>
      <c r="G2058" s="752" t="s">
        <v>83</v>
      </c>
      <c r="H2058" s="752" t="s">
        <v>1245</v>
      </c>
      <c r="I2058" s="752" t="s">
        <v>60</v>
      </c>
      <c r="J2058" s="751">
        <v>22</v>
      </c>
      <c r="K2058" s="751">
        <v>2</v>
      </c>
      <c r="L2058" s="752" t="s">
        <v>54</v>
      </c>
      <c r="M2058" s="752" t="s">
        <v>468</v>
      </c>
      <c r="N2058" s="752" t="s">
        <v>469</v>
      </c>
      <c r="O2058" s="752" t="s">
        <v>469</v>
      </c>
      <c r="P2058" s="752" t="s">
        <v>1238</v>
      </c>
      <c r="Q2058" s="753">
        <v>0</v>
      </c>
      <c r="R2058" s="753">
        <v>0</v>
      </c>
      <c r="S2058" s="753">
        <v>34422</v>
      </c>
      <c r="T2058" s="753">
        <v>34422</v>
      </c>
      <c r="U2058" s="753">
        <v>3866</v>
      </c>
      <c r="V2058" s="751">
        <v>2019</v>
      </c>
      <c r="W2058" s="222"/>
      <c r="X2058" s="186"/>
      <c r="Y2058" s="178"/>
      <c r="Z2058" s="178"/>
      <c r="AA2058" s="44"/>
      <c r="AB2058" s="65"/>
      <c r="AC2058" s="40"/>
    </row>
    <row r="2059" spans="1:29" ht="25" hidden="1">
      <c r="A2059" s="751">
        <v>63673</v>
      </c>
      <c r="B2059" s="752" t="s">
        <v>35</v>
      </c>
      <c r="C2059" s="751" t="s">
        <v>2960</v>
      </c>
      <c r="D2059" s="752" t="s">
        <v>3231</v>
      </c>
      <c r="E2059" s="752" t="s">
        <v>3232</v>
      </c>
      <c r="F2059" s="751">
        <v>63392</v>
      </c>
      <c r="G2059" s="752" t="s">
        <v>43</v>
      </c>
      <c r="H2059" s="752" t="s">
        <v>1245</v>
      </c>
      <c r="I2059" s="752" t="s">
        <v>60</v>
      </c>
      <c r="J2059" s="751">
        <v>622</v>
      </c>
      <c r="K2059" s="751">
        <v>4</v>
      </c>
      <c r="L2059" s="752" t="s">
        <v>422</v>
      </c>
      <c r="M2059" s="752" t="s">
        <v>52</v>
      </c>
      <c r="N2059" s="752" t="s">
        <v>41</v>
      </c>
      <c r="O2059" s="752" t="s">
        <v>41</v>
      </c>
      <c r="P2059" s="752" t="s">
        <v>1091</v>
      </c>
      <c r="Q2059" s="753">
        <v>157737</v>
      </c>
      <c r="R2059" s="753">
        <v>157737</v>
      </c>
      <c r="S2059" s="753">
        <v>161523</v>
      </c>
      <c r="T2059" s="753">
        <v>161523</v>
      </c>
      <c r="U2059" s="753">
        <v>9164</v>
      </c>
      <c r="V2059" s="751">
        <v>2019</v>
      </c>
      <c r="W2059" s="222"/>
      <c r="X2059" s="186"/>
      <c r="Y2059" s="178"/>
      <c r="Z2059" s="178"/>
      <c r="AA2059" s="44"/>
      <c r="AB2059" s="65"/>
      <c r="AC2059" s="40"/>
    </row>
    <row r="2060" spans="1:29" ht="25" hidden="1">
      <c r="A2060" s="751">
        <v>63673</v>
      </c>
      <c r="B2060" s="752" t="s">
        <v>35</v>
      </c>
      <c r="C2060" s="751" t="s">
        <v>2960</v>
      </c>
      <c r="D2060" s="752" t="s">
        <v>3231</v>
      </c>
      <c r="E2060" s="752" t="s">
        <v>3232</v>
      </c>
      <c r="F2060" s="751">
        <v>63392</v>
      </c>
      <c r="G2060" s="752" t="s">
        <v>43</v>
      </c>
      <c r="H2060" s="752" t="s">
        <v>1245</v>
      </c>
      <c r="I2060" s="752" t="s">
        <v>60</v>
      </c>
      <c r="J2060" s="751">
        <v>622</v>
      </c>
      <c r="K2060" s="751">
        <v>4</v>
      </c>
      <c r="L2060" s="752" t="s">
        <v>422</v>
      </c>
      <c r="M2060" s="752" t="s">
        <v>53</v>
      </c>
      <c r="N2060" s="752" t="s">
        <v>41</v>
      </c>
      <c r="O2060" s="752" t="s">
        <v>41</v>
      </c>
      <c r="P2060" s="752" t="s">
        <v>1091</v>
      </c>
      <c r="Q2060" s="753">
        <v>0</v>
      </c>
      <c r="R2060" s="753">
        <v>0</v>
      </c>
      <c r="S2060" s="753">
        <v>0</v>
      </c>
      <c r="T2060" s="753">
        <v>0</v>
      </c>
      <c r="U2060" s="753">
        <v>0</v>
      </c>
      <c r="V2060" s="751">
        <v>2019</v>
      </c>
      <c r="W2060" s="222"/>
      <c r="X2060" s="186"/>
      <c r="Y2060" s="178"/>
      <c r="Z2060" s="178"/>
      <c r="AA2060" s="44"/>
      <c r="AB2060" s="65"/>
      <c r="AC2060" s="40"/>
    </row>
    <row r="2061" spans="1:29" hidden="1">
      <c r="A2061" s="751">
        <v>63690</v>
      </c>
      <c r="B2061" s="752" t="s">
        <v>35</v>
      </c>
      <c r="C2061" s="751" t="s">
        <v>2960</v>
      </c>
      <c r="D2061" s="752" t="s">
        <v>3233</v>
      </c>
      <c r="E2061" s="752" t="s">
        <v>1735</v>
      </c>
      <c r="F2061" s="751">
        <v>58871</v>
      </c>
      <c r="G2061" s="752" t="s">
        <v>83</v>
      </c>
      <c r="H2061" s="752" t="s">
        <v>1245</v>
      </c>
      <c r="I2061" s="752" t="s">
        <v>60</v>
      </c>
      <c r="J2061" s="751">
        <v>22</v>
      </c>
      <c r="K2061" s="751">
        <v>2</v>
      </c>
      <c r="L2061" s="752" t="s">
        <v>54</v>
      </c>
      <c r="M2061" s="752" t="s">
        <v>468</v>
      </c>
      <c r="N2061" s="752" t="s">
        <v>469</v>
      </c>
      <c r="O2061" s="752" t="s">
        <v>469</v>
      </c>
      <c r="P2061" s="752" t="s">
        <v>1238</v>
      </c>
      <c r="Q2061" s="753">
        <v>0</v>
      </c>
      <c r="R2061" s="753">
        <v>0</v>
      </c>
      <c r="S2061" s="753">
        <v>0</v>
      </c>
      <c r="T2061" s="753">
        <v>0</v>
      </c>
      <c r="U2061" s="753">
        <v>0</v>
      </c>
      <c r="V2061" s="751">
        <v>2019</v>
      </c>
      <c r="W2061" s="222"/>
      <c r="X2061" s="186"/>
      <c r="Y2061" s="178"/>
      <c r="Z2061" s="178"/>
      <c r="AA2061" s="44"/>
      <c r="AB2061" s="65"/>
      <c r="AC2061" s="40"/>
    </row>
    <row r="2062" spans="1:29" hidden="1">
      <c r="A2062" s="751">
        <v>63697</v>
      </c>
      <c r="B2062" s="752" t="s">
        <v>35</v>
      </c>
      <c r="C2062" s="751" t="s">
        <v>2960</v>
      </c>
      <c r="D2062" s="752" t="s">
        <v>3234</v>
      </c>
      <c r="E2062" s="752" t="s">
        <v>3235</v>
      </c>
      <c r="F2062" s="751">
        <v>63409</v>
      </c>
      <c r="G2062" s="752" t="s">
        <v>83</v>
      </c>
      <c r="H2062" s="752" t="s">
        <v>1245</v>
      </c>
      <c r="I2062" s="752" t="s">
        <v>60</v>
      </c>
      <c r="J2062" s="751">
        <v>22</v>
      </c>
      <c r="K2062" s="751">
        <v>2</v>
      </c>
      <c r="L2062" s="752" t="s">
        <v>54</v>
      </c>
      <c r="M2062" s="752" t="s">
        <v>468</v>
      </c>
      <c r="N2062" s="752" t="s">
        <v>469</v>
      </c>
      <c r="O2062" s="752" t="s">
        <v>469</v>
      </c>
      <c r="P2062" s="752" t="s">
        <v>1238</v>
      </c>
      <c r="Q2062" s="753">
        <v>0</v>
      </c>
      <c r="R2062" s="753">
        <v>0</v>
      </c>
      <c r="S2062" s="753">
        <v>15458</v>
      </c>
      <c r="T2062" s="753">
        <v>15458</v>
      </c>
      <c r="U2062" s="753">
        <v>1736</v>
      </c>
      <c r="V2062" s="751">
        <v>2019</v>
      </c>
      <c r="W2062" s="222"/>
      <c r="X2062" s="186"/>
      <c r="Y2062" s="178"/>
      <c r="Z2062" s="178"/>
      <c r="AA2062" s="44"/>
      <c r="AB2062" s="65"/>
      <c r="AC2062" s="40"/>
    </row>
    <row r="2063" spans="1:29" hidden="1">
      <c r="A2063" s="751">
        <v>63749</v>
      </c>
      <c r="B2063" s="752" t="s">
        <v>35</v>
      </c>
      <c r="C2063" s="751" t="s">
        <v>2960</v>
      </c>
      <c r="D2063" s="752" t="s">
        <v>3236</v>
      </c>
      <c r="E2063" s="752" t="s">
        <v>3237</v>
      </c>
      <c r="F2063" s="751">
        <v>63443</v>
      </c>
      <c r="G2063" s="752" t="s">
        <v>59</v>
      </c>
      <c r="H2063" s="752" t="s">
        <v>1244</v>
      </c>
      <c r="I2063" s="752" t="s">
        <v>60</v>
      </c>
      <c r="J2063" s="751">
        <v>22</v>
      </c>
      <c r="K2063" s="751">
        <v>2</v>
      </c>
      <c r="L2063" s="752" t="s">
        <v>54</v>
      </c>
      <c r="M2063" s="752" t="s">
        <v>468</v>
      </c>
      <c r="N2063" s="752" t="s">
        <v>469</v>
      </c>
      <c r="O2063" s="752" t="s">
        <v>469</v>
      </c>
      <c r="P2063" s="752" t="s">
        <v>1238</v>
      </c>
      <c r="Q2063" s="753">
        <v>0</v>
      </c>
      <c r="R2063" s="753">
        <v>0</v>
      </c>
      <c r="S2063" s="753">
        <v>0</v>
      </c>
      <c r="T2063" s="753">
        <v>0</v>
      </c>
      <c r="U2063" s="753">
        <v>0</v>
      </c>
      <c r="V2063" s="751">
        <v>2019</v>
      </c>
      <c r="W2063" s="222"/>
      <c r="X2063" s="186"/>
      <c r="Y2063" s="178"/>
      <c r="Z2063" s="178"/>
      <c r="AA2063" s="44"/>
      <c r="AB2063" s="65"/>
      <c r="AC2063" s="40"/>
    </row>
    <row r="2064" spans="1:29" hidden="1">
      <c r="A2064" s="751">
        <v>63750</v>
      </c>
      <c r="B2064" s="752" t="s">
        <v>35</v>
      </c>
      <c r="C2064" s="751" t="s">
        <v>2960</v>
      </c>
      <c r="D2064" s="752" t="s">
        <v>3238</v>
      </c>
      <c r="E2064" s="752" t="s">
        <v>3239</v>
      </c>
      <c r="F2064" s="751">
        <v>63444</v>
      </c>
      <c r="G2064" s="752" t="s">
        <v>59</v>
      </c>
      <c r="H2064" s="752" t="s">
        <v>1244</v>
      </c>
      <c r="I2064" s="752" t="s">
        <v>60</v>
      </c>
      <c r="J2064" s="751">
        <v>22</v>
      </c>
      <c r="K2064" s="751">
        <v>2</v>
      </c>
      <c r="L2064" s="752" t="s">
        <v>54</v>
      </c>
      <c r="M2064" s="752" t="s">
        <v>468</v>
      </c>
      <c r="N2064" s="752" t="s">
        <v>469</v>
      </c>
      <c r="O2064" s="752" t="s">
        <v>469</v>
      </c>
      <c r="P2064" s="752" t="s">
        <v>1238</v>
      </c>
      <c r="Q2064" s="753">
        <v>0</v>
      </c>
      <c r="R2064" s="753">
        <v>0</v>
      </c>
      <c r="S2064" s="753">
        <v>20363</v>
      </c>
      <c r="T2064" s="753">
        <v>20363</v>
      </c>
      <c r="U2064" s="753">
        <v>2287</v>
      </c>
      <c r="V2064" s="751">
        <v>2019</v>
      </c>
      <c r="W2064" s="222"/>
      <c r="X2064" s="186"/>
      <c r="Y2064" s="178"/>
      <c r="Z2064" s="178"/>
      <c r="AA2064" s="44"/>
      <c r="AB2064" s="65"/>
      <c r="AC2064" s="40"/>
    </row>
    <row r="2065" spans="1:29" hidden="1">
      <c r="A2065" s="751">
        <v>63751</v>
      </c>
      <c r="B2065" s="752" t="s">
        <v>35</v>
      </c>
      <c r="C2065" s="751" t="s">
        <v>2960</v>
      </c>
      <c r="D2065" s="752" t="s">
        <v>3240</v>
      </c>
      <c r="E2065" s="752" t="s">
        <v>3241</v>
      </c>
      <c r="F2065" s="751">
        <v>63445</v>
      </c>
      <c r="G2065" s="752" t="s">
        <v>59</v>
      </c>
      <c r="H2065" s="752" t="s">
        <v>1244</v>
      </c>
      <c r="I2065" s="752" t="s">
        <v>60</v>
      </c>
      <c r="J2065" s="751">
        <v>22</v>
      </c>
      <c r="K2065" s="751">
        <v>2</v>
      </c>
      <c r="L2065" s="752" t="s">
        <v>54</v>
      </c>
      <c r="M2065" s="752" t="s">
        <v>468</v>
      </c>
      <c r="N2065" s="752" t="s">
        <v>469</v>
      </c>
      <c r="O2065" s="752" t="s">
        <v>469</v>
      </c>
      <c r="P2065" s="752" t="s">
        <v>1238</v>
      </c>
      <c r="Q2065" s="753">
        <v>0</v>
      </c>
      <c r="R2065" s="753">
        <v>0</v>
      </c>
      <c r="S2065" s="753">
        <v>22332</v>
      </c>
      <c r="T2065" s="753">
        <v>22332</v>
      </c>
      <c r="U2065" s="753">
        <v>2508</v>
      </c>
      <c r="V2065" s="751">
        <v>2019</v>
      </c>
      <c r="W2065" s="222"/>
      <c r="X2065" s="186"/>
      <c r="Y2065" s="178"/>
      <c r="Z2065" s="178"/>
      <c r="AA2065" s="44"/>
      <c r="AB2065" s="65"/>
      <c r="AC2065" s="40"/>
    </row>
    <row r="2066" spans="1:29" hidden="1">
      <c r="A2066" s="751">
        <v>63752</v>
      </c>
      <c r="B2066" s="752" t="s">
        <v>35</v>
      </c>
      <c r="C2066" s="751" t="s">
        <v>2960</v>
      </c>
      <c r="D2066" s="752" t="s">
        <v>3242</v>
      </c>
      <c r="E2066" s="752" t="s">
        <v>3243</v>
      </c>
      <c r="F2066" s="751">
        <v>63446</v>
      </c>
      <c r="G2066" s="752" t="s">
        <v>59</v>
      </c>
      <c r="H2066" s="752" t="s">
        <v>1244</v>
      </c>
      <c r="I2066" s="752" t="s">
        <v>60</v>
      </c>
      <c r="J2066" s="751">
        <v>22</v>
      </c>
      <c r="K2066" s="751">
        <v>2</v>
      </c>
      <c r="L2066" s="752" t="s">
        <v>54</v>
      </c>
      <c r="M2066" s="752" t="s">
        <v>468</v>
      </c>
      <c r="N2066" s="752" t="s">
        <v>469</v>
      </c>
      <c r="O2066" s="752" t="s">
        <v>469</v>
      </c>
      <c r="P2066" s="752" t="s">
        <v>1238</v>
      </c>
      <c r="Q2066" s="753">
        <v>0</v>
      </c>
      <c r="R2066" s="753">
        <v>0</v>
      </c>
      <c r="S2066" s="753">
        <v>8130</v>
      </c>
      <c r="T2066" s="753">
        <v>8130</v>
      </c>
      <c r="U2066" s="753">
        <v>913</v>
      </c>
      <c r="V2066" s="751">
        <v>2019</v>
      </c>
      <c r="W2066" s="222"/>
      <c r="X2066" s="186"/>
      <c r="Y2066" s="178"/>
      <c r="Z2066" s="178"/>
      <c r="AA2066" s="44"/>
      <c r="AB2066" s="65"/>
      <c r="AC2066" s="40"/>
    </row>
    <row r="2067" spans="1:29" hidden="1">
      <c r="A2067" s="751">
        <v>63772</v>
      </c>
      <c r="B2067" s="752" t="s">
        <v>35</v>
      </c>
      <c r="C2067" s="751" t="s">
        <v>2960</v>
      </c>
      <c r="D2067" s="752" t="s">
        <v>3244</v>
      </c>
      <c r="E2067" s="752" t="s">
        <v>2286</v>
      </c>
      <c r="F2067" s="751">
        <v>61060</v>
      </c>
      <c r="G2067" s="752" t="s">
        <v>59</v>
      </c>
      <c r="H2067" s="752" t="s">
        <v>1244</v>
      </c>
      <c r="I2067" s="752" t="s">
        <v>60</v>
      </c>
      <c r="J2067" s="751">
        <v>22</v>
      </c>
      <c r="K2067" s="751">
        <v>2</v>
      </c>
      <c r="L2067" s="752" t="s">
        <v>54</v>
      </c>
      <c r="M2067" s="752" t="s">
        <v>468</v>
      </c>
      <c r="N2067" s="752" t="s">
        <v>469</v>
      </c>
      <c r="O2067" s="752" t="s">
        <v>469</v>
      </c>
      <c r="P2067" s="752" t="s">
        <v>1238</v>
      </c>
      <c r="Q2067" s="753">
        <v>0</v>
      </c>
      <c r="R2067" s="753">
        <v>0</v>
      </c>
      <c r="S2067" s="753">
        <v>15351</v>
      </c>
      <c r="T2067" s="753">
        <v>15351</v>
      </c>
      <c r="U2067" s="753">
        <v>1724</v>
      </c>
      <c r="V2067" s="751">
        <v>2019</v>
      </c>
      <c r="W2067" s="222"/>
      <c r="X2067" s="186"/>
      <c r="Y2067" s="178"/>
      <c r="Z2067" s="178"/>
      <c r="AA2067" s="44"/>
      <c r="AB2067" s="65"/>
      <c r="AC2067" s="40"/>
    </row>
    <row r="2068" spans="1:29" hidden="1">
      <c r="A2068" s="751">
        <v>63800</v>
      </c>
      <c r="B2068" s="752" t="s">
        <v>35</v>
      </c>
      <c r="C2068" s="751" t="s">
        <v>2960</v>
      </c>
      <c r="D2068" s="752" t="s">
        <v>3245</v>
      </c>
      <c r="E2068" s="752" t="s">
        <v>3144</v>
      </c>
      <c r="F2068" s="751">
        <v>62856</v>
      </c>
      <c r="G2068" s="752" t="s">
        <v>59</v>
      </c>
      <c r="H2068" s="752" t="s">
        <v>1244</v>
      </c>
      <c r="I2068" s="752" t="s">
        <v>60</v>
      </c>
      <c r="J2068" s="751">
        <v>22</v>
      </c>
      <c r="K2068" s="751">
        <v>2</v>
      </c>
      <c r="L2068" s="752" t="s">
        <v>54</v>
      </c>
      <c r="M2068" s="752" t="s">
        <v>468</v>
      </c>
      <c r="N2068" s="752" t="s">
        <v>469</v>
      </c>
      <c r="O2068" s="752" t="s">
        <v>469</v>
      </c>
      <c r="P2068" s="752" t="s">
        <v>1238</v>
      </c>
      <c r="Q2068" s="753">
        <v>0</v>
      </c>
      <c r="R2068" s="753">
        <v>0</v>
      </c>
      <c r="S2068" s="753">
        <v>3828</v>
      </c>
      <c r="T2068" s="753">
        <v>3828</v>
      </c>
      <c r="U2068" s="753">
        <v>430</v>
      </c>
      <c r="V2068" s="751">
        <v>2019</v>
      </c>
      <c r="W2068" s="222"/>
      <c r="X2068" s="186"/>
      <c r="Y2068" s="178"/>
      <c r="Z2068" s="178"/>
      <c r="AA2068" s="44"/>
      <c r="AB2068" s="65"/>
      <c r="AC2068" s="40"/>
    </row>
    <row r="2069" spans="1:29" hidden="1">
      <c r="A2069" s="751">
        <v>99999</v>
      </c>
      <c r="B2069" s="752" t="s">
        <v>35</v>
      </c>
      <c r="C2069" s="751" t="s">
        <v>2960</v>
      </c>
      <c r="D2069" s="752" t="s">
        <v>1141</v>
      </c>
      <c r="E2069" s="752" t="s">
        <v>1141</v>
      </c>
      <c r="F2069" s="751">
        <v>99999</v>
      </c>
      <c r="G2069" s="752" t="s">
        <v>83</v>
      </c>
      <c r="H2069" s="752" t="s">
        <v>1245</v>
      </c>
      <c r="I2069" s="752" t="s">
        <v>1238</v>
      </c>
      <c r="J2069" s="751">
        <v>99999</v>
      </c>
      <c r="K2069" s="751">
        <v>2</v>
      </c>
      <c r="L2069" s="752" t="s">
        <v>54</v>
      </c>
      <c r="M2069" s="752" t="s">
        <v>52</v>
      </c>
      <c r="N2069" s="752" t="s">
        <v>48</v>
      </c>
      <c r="O2069" s="752" t="s">
        <v>48</v>
      </c>
      <c r="P2069" s="752" t="s">
        <v>49</v>
      </c>
      <c r="Q2069" s="753">
        <v>0</v>
      </c>
      <c r="R2069" s="753">
        <v>0</v>
      </c>
      <c r="S2069" s="753">
        <v>0</v>
      </c>
      <c r="T2069" s="753">
        <v>0</v>
      </c>
      <c r="U2069" s="753">
        <v>0</v>
      </c>
      <c r="V2069" s="751">
        <v>2019</v>
      </c>
      <c r="W2069" s="222"/>
      <c r="X2069" s="186"/>
      <c r="Y2069" s="178"/>
      <c r="Z2069" s="178"/>
      <c r="AA2069" s="44"/>
      <c r="AB2069" s="65"/>
      <c r="AC2069" s="40"/>
    </row>
    <row r="2070" spans="1:29" hidden="1">
      <c r="A2070" s="751">
        <v>99999</v>
      </c>
      <c r="B2070" s="752" t="s">
        <v>35</v>
      </c>
      <c r="C2070" s="751" t="s">
        <v>2960</v>
      </c>
      <c r="D2070" s="752" t="s">
        <v>1141</v>
      </c>
      <c r="E2070" s="752" t="s">
        <v>1141</v>
      </c>
      <c r="F2070" s="751">
        <v>99999</v>
      </c>
      <c r="G2070" s="752" t="s">
        <v>59</v>
      </c>
      <c r="H2070" s="752" t="s">
        <v>1244</v>
      </c>
      <c r="I2070" s="752" t="s">
        <v>1238</v>
      </c>
      <c r="J2070" s="751">
        <v>99999</v>
      </c>
      <c r="K2070" s="751">
        <v>1</v>
      </c>
      <c r="L2070" s="752" t="s">
        <v>36</v>
      </c>
      <c r="M2070" s="752" t="s">
        <v>52</v>
      </c>
      <c r="N2070" s="752" t="s">
        <v>48</v>
      </c>
      <c r="O2070" s="752" t="s">
        <v>48</v>
      </c>
      <c r="P2070" s="752" t="s">
        <v>49</v>
      </c>
      <c r="Q2070" s="753">
        <v>613</v>
      </c>
      <c r="R2070" s="753">
        <v>613</v>
      </c>
      <c r="S2070" s="753">
        <v>3548</v>
      </c>
      <c r="T2070" s="753">
        <v>3548</v>
      </c>
      <c r="U2070" s="753">
        <v>361.61500000000001</v>
      </c>
      <c r="V2070" s="751">
        <v>2019</v>
      </c>
      <c r="W2070" s="222"/>
      <c r="X2070" s="186"/>
      <c r="Y2070" s="178"/>
      <c r="Z2070" s="178"/>
      <c r="AA2070" s="44"/>
      <c r="AB2070" s="65"/>
      <c r="AC2070" s="40"/>
    </row>
    <row r="2071" spans="1:29" hidden="1">
      <c r="A2071" s="751">
        <v>99999</v>
      </c>
      <c r="B2071" s="752" t="s">
        <v>35</v>
      </c>
      <c r="C2071" s="751" t="s">
        <v>2960</v>
      </c>
      <c r="D2071" s="752" t="s">
        <v>1141</v>
      </c>
      <c r="E2071" s="752" t="s">
        <v>1141</v>
      </c>
      <c r="F2071" s="751">
        <v>99999</v>
      </c>
      <c r="G2071" s="752" t="s">
        <v>59</v>
      </c>
      <c r="H2071" s="752" t="s">
        <v>1244</v>
      </c>
      <c r="I2071" s="752" t="s">
        <v>1238</v>
      </c>
      <c r="J2071" s="751">
        <v>99999</v>
      </c>
      <c r="K2071" s="751">
        <v>1</v>
      </c>
      <c r="L2071" s="752" t="s">
        <v>36</v>
      </c>
      <c r="M2071" s="752" t="s">
        <v>52</v>
      </c>
      <c r="N2071" s="752" t="s">
        <v>78</v>
      </c>
      <c r="O2071" s="752" t="s">
        <v>69</v>
      </c>
      <c r="P2071" s="752" t="s">
        <v>49</v>
      </c>
      <c r="Q2071" s="753">
        <v>0</v>
      </c>
      <c r="R2071" s="753">
        <v>0</v>
      </c>
      <c r="S2071" s="753">
        <v>0</v>
      </c>
      <c r="T2071" s="753">
        <v>0</v>
      </c>
      <c r="U2071" s="753">
        <v>0</v>
      </c>
      <c r="V2071" s="751">
        <v>2019</v>
      </c>
      <c r="W2071" s="222"/>
      <c r="X2071" s="186"/>
      <c r="Y2071" s="178"/>
      <c r="Z2071" s="178"/>
      <c r="AA2071" s="44"/>
      <c r="AB2071" s="65"/>
      <c r="AC2071" s="40"/>
    </row>
    <row r="2072" spans="1:29" hidden="1">
      <c r="A2072" s="751">
        <v>99999</v>
      </c>
      <c r="B2072" s="752" t="s">
        <v>35</v>
      </c>
      <c r="C2072" s="751" t="s">
        <v>2960</v>
      </c>
      <c r="D2072" s="752" t="s">
        <v>1141</v>
      </c>
      <c r="E2072" s="752" t="s">
        <v>1141</v>
      </c>
      <c r="F2072" s="751">
        <v>99999</v>
      </c>
      <c r="G2072" s="752" t="s">
        <v>83</v>
      </c>
      <c r="H2072" s="752" t="s">
        <v>1245</v>
      </c>
      <c r="I2072" s="752" t="s">
        <v>1238</v>
      </c>
      <c r="J2072" s="751">
        <v>99999</v>
      </c>
      <c r="K2072" s="751">
        <v>2</v>
      </c>
      <c r="L2072" s="752" t="s">
        <v>54</v>
      </c>
      <c r="M2072" s="752" t="s">
        <v>52</v>
      </c>
      <c r="N2072" s="752" t="s">
        <v>41</v>
      </c>
      <c r="O2072" s="752" t="s">
        <v>41</v>
      </c>
      <c r="P2072" s="752" t="s">
        <v>1091</v>
      </c>
      <c r="Q2072" s="753">
        <v>0</v>
      </c>
      <c r="R2072" s="753">
        <v>0</v>
      </c>
      <c r="S2072" s="753">
        <v>0</v>
      </c>
      <c r="T2072" s="753">
        <v>0</v>
      </c>
      <c r="U2072" s="753">
        <v>0</v>
      </c>
      <c r="V2072" s="751">
        <v>2019</v>
      </c>
      <c r="W2072" s="222"/>
      <c r="X2072" s="186"/>
      <c r="Y2072" s="178"/>
      <c r="Z2072" s="178"/>
      <c r="AA2072" s="44"/>
      <c r="AB2072" s="65"/>
      <c r="AC2072" s="40"/>
    </row>
    <row r="2073" spans="1:29" ht="25" hidden="1">
      <c r="A2073" s="751">
        <v>99999</v>
      </c>
      <c r="B2073" s="752" t="s">
        <v>56</v>
      </c>
      <c r="C2073" s="751" t="s">
        <v>2960</v>
      </c>
      <c r="D2073" s="752" t="s">
        <v>1141</v>
      </c>
      <c r="E2073" s="752" t="s">
        <v>1141</v>
      </c>
      <c r="F2073" s="751">
        <v>99999</v>
      </c>
      <c r="G2073" s="752" t="s">
        <v>83</v>
      </c>
      <c r="H2073" s="752" t="s">
        <v>1245</v>
      </c>
      <c r="I2073" s="752" t="s">
        <v>1238</v>
      </c>
      <c r="J2073" s="751">
        <v>99999</v>
      </c>
      <c r="K2073" s="751">
        <v>5</v>
      </c>
      <c r="L2073" s="752" t="s">
        <v>423</v>
      </c>
      <c r="M2073" s="752" t="s">
        <v>52</v>
      </c>
      <c r="N2073" s="752" t="s">
        <v>41</v>
      </c>
      <c r="O2073" s="752" t="s">
        <v>41</v>
      </c>
      <c r="P2073" s="752" t="s">
        <v>1091</v>
      </c>
      <c r="Q2073" s="753">
        <v>0</v>
      </c>
      <c r="R2073" s="753">
        <v>0</v>
      </c>
      <c r="S2073" s="753">
        <v>0</v>
      </c>
      <c r="T2073" s="753">
        <v>0</v>
      </c>
      <c r="U2073" s="753">
        <v>0</v>
      </c>
      <c r="V2073" s="751">
        <v>2019</v>
      </c>
      <c r="W2073" s="222"/>
      <c r="X2073" s="186"/>
      <c r="Y2073" s="178"/>
      <c r="Z2073" s="178"/>
      <c r="AA2073" s="44"/>
      <c r="AB2073" s="65"/>
      <c r="AC2073" s="40"/>
    </row>
    <row r="2074" spans="1:29" hidden="1">
      <c r="A2074" s="751">
        <v>99999</v>
      </c>
      <c r="B2074" s="752" t="s">
        <v>35</v>
      </c>
      <c r="C2074" s="751" t="s">
        <v>2960</v>
      </c>
      <c r="D2074" s="752" t="s">
        <v>1141</v>
      </c>
      <c r="E2074" s="752" t="s">
        <v>1141</v>
      </c>
      <c r="F2074" s="751">
        <v>99999</v>
      </c>
      <c r="G2074" s="752" t="s">
        <v>59</v>
      </c>
      <c r="H2074" s="752" t="s">
        <v>1244</v>
      </c>
      <c r="I2074" s="752" t="s">
        <v>1238</v>
      </c>
      <c r="J2074" s="751">
        <v>99999</v>
      </c>
      <c r="K2074" s="751">
        <v>1</v>
      </c>
      <c r="L2074" s="752" t="s">
        <v>36</v>
      </c>
      <c r="M2074" s="752" t="s">
        <v>52</v>
      </c>
      <c r="N2074" s="752" t="s">
        <v>41</v>
      </c>
      <c r="O2074" s="752" t="s">
        <v>41</v>
      </c>
      <c r="P2074" s="752" t="s">
        <v>1091</v>
      </c>
      <c r="Q2074" s="753">
        <v>26250</v>
      </c>
      <c r="R2074" s="753">
        <v>26250</v>
      </c>
      <c r="S2074" s="753">
        <v>27116</v>
      </c>
      <c r="T2074" s="753">
        <v>27116</v>
      </c>
      <c r="U2074" s="753">
        <v>2998.8910000000001</v>
      </c>
      <c r="V2074" s="751">
        <v>2019</v>
      </c>
      <c r="W2074" s="222"/>
      <c r="X2074" s="186"/>
      <c r="Y2074" s="178"/>
      <c r="Z2074" s="178"/>
      <c r="AA2074" s="44"/>
      <c r="AB2074" s="65"/>
      <c r="AC2074" s="40"/>
    </row>
    <row r="2075" spans="1:29" hidden="1">
      <c r="A2075" s="751">
        <v>99999</v>
      </c>
      <c r="B2075" s="752" t="s">
        <v>35</v>
      </c>
      <c r="C2075" s="751" t="s">
        <v>2960</v>
      </c>
      <c r="D2075" s="752" t="s">
        <v>1141</v>
      </c>
      <c r="E2075" s="752" t="s">
        <v>1141</v>
      </c>
      <c r="F2075" s="751">
        <v>99999</v>
      </c>
      <c r="G2075" s="752" t="s">
        <v>59</v>
      </c>
      <c r="H2075" s="752" t="s">
        <v>1244</v>
      </c>
      <c r="I2075" s="752" t="s">
        <v>1238</v>
      </c>
      <c r="J2075" s="751">
        <v>99999</v>
      </c>
      <c r="K2075" s="751">
        <v>2</v>
      </c>
      <c r="L2075" s="752" t="s">
        <v>54</v>
      </c>
      <c r="M2075" s="752" t="s">
        <v>37</v>
      </c>
      <c r="N2075" s="752" t="s">
        <v>38</v>
      </c>
      <c r="O2075" s="752" t="s">
        <v>39</v>
      </c>
      <c r="P2075" s="752" t="s">
        <v>1238</v>
      </c>
      <c r="Q2075" s="753">
        <v>0</v>
      </c>
      <c r="R2075" s="753">
        <v>0</v>
      </c>
      <c r="S2075" s="753">
        <v>57075</v>
      </c>
      <c r="T2075" s="753">
        <v>57075</v>
      </c>
      <c r="U2075" s="753">
        <v>6410.0259999999998</v>
      </c>
      <c r="V2075" s="751">
        <v>2019</v>
      </c>
      <c r="W2075" s="222"/>
      <c r="X2075" s="186"/>
      <c r="Y2075" s="178"/>
      <c r="Z2075" s="178"/>
      <c r="AA2075" s="44"/>
      <c r="AB2075" s="65"/>
      <c r="AC2075" s="40"/>
    </row>
    <row r="2076" spans="1:29" ht="25" hidden="1">
      <c r="A2076" s="751">
        <v>99999</v>
      </c>
      <c r="B2076" s="752" t="s">
        <v>35</v>
      </c>
      <c r="C2076" s="751" t="s">
        <v>2960</v>
      </c>
      <c r="D2076" s="752" t="s">
        <v>1141</v>
      </c>
      <c r="E2076" s="752" t="s">
        <v>1141</v>
      </c>
      <c r="F2076" s="751">
        <v>99999</v>
      </c>
      <c r="G2076" s="752" t="s">
        <v>59</v>
      </c>
      <c r="H2076" s="752" t="s">
        <v>1244</v>
      </c>
      <c r="I2076" s="752" t="s">
        <v>1238</v>
      </c>
      <c r="J2076" s="751">
        <v>99999</v>
      </c>
      <c r="K2076" s="751">
        <v>4</v>
      </c>
      <c r="L2076" s="752" t="s">
        <v>422</v>
      </c>
      <c r="M2076" s="752" t="s">
        <v>53</v>
      </c>
      <c r="N2076" s="752" t="s">
        <v>48</v>
      </c>
      <c r="O2076" s="752" t="s">
        <v>48</v>
      </c>
      <c r="P2076" s="752" t="s">
        <v>49</v>
      </c>
      <c r="Q2076" s="753">
        <v>0</v>
      </c>
      <c r="R2076" s="753">
        <v>0</v>
      </c>
      <c r="S2076" s="753">
        <v>0</v>
      </c>
      <c r="T2076" s="753">
        <v>0</v>
      </c>
      <c r="U2076" s="753">
        <v>0</v>
      </c>
      <c r="V2076" s="751">
        <v>2019</v>
      </c>
      <c r="W2076" s="222"/>
      <c r="X2076" s="186"/>
      <c r="Y2076" s="178"/>
      <c r="Z2076" s="178"/>
      <c r="AA2076" s="44"/>
      <c r="AB2076" s="65"/>
      <c r="AC2076" s="40"/>
    </row>
    <row r="2077" spans="1:29" hidden="1">
      <c r="A2077" s="751">
        <v>99999</v>
      </c>
      <c r="B2077" s="752" t="s">
        <v>35</v>
      </c>
      <c r="C2077" s="751" t="s">
        <v>2960</v>
      </c>
      <c r="D2077" s="752" t="s">
        <v>1141</v>
      </c>
      <c r="E2077" s="752" t="s">
        <v>1141</v>
      </c>
      <c r="F2077" s="751">
        <v>99999</v>
      </c>
      <c r="G2077" s="752" t="s">
        <v>83</v>
      </c>
      <c r="H2077" s="752" t="s">
        <v>1245</v>
      </c>
      <c r="I2077" s="752" t="s">
        <v>1238</v>
      </c>
      <c r="J2077" s="751">
        <v>99999</v>
      </c>
      <c r="K2077" s="751">
        <v>2</v>
      </c>
      <c r="L2077" s="752" t="s">
        <v>54</v>
      </c>
      <c r="M2077" s="752" t="s">
        <v>468</v>
      </c>
      <c r="N2077" s="752" t="s">
        <v>469</v>
      </c>
      <c r="O2077" s="752" t="s">
        <v>469</v>
      </c>
      <c r="P2077" s="752" t="s">
        <v>1238</v>
      </c>
      <c r="Q2077" s="753">
        <v>0</v>
      </c>
      <c r="R2077" s="753">
        <v>0</v>
      </c>
      <c r="S2077" s="753">
        <v>21512</v>
      </c>
      <c r="T2077" s="753">
        <v>21512</v>
      </c>
      <c r="U2077" s="753">
        <v>2415.808</v>
      </c>
      <c r="V2077" s="751">
        <v>2019</v>
      </c>
      <c r="W2077" s="222"/>
      <c r="X2077" s="186"/>
      <c r="Y2077" s="178"/>
      <c r="Z2077" s="178"/>
      <c r="AA2077" s="44"/>
      <c r="AB2077" s="65"/>
      <c r="AC2077" s="40"/>
    </row>
    <row r="2078" spans="1:29" hidden="1">
      <c r="A2078" s="751">
        <v>99999</v>
      </c>
      <c r="B2078" s="752" t="s">
        <v>35</v>
      </c>
      <c r="C2078" s="751" t="s">
        <v>2960</v>
      </c>
      <c r="D2078" s="752" t="s">
        <v>1141</v>
      </c>
      <c r="E2078" s="752" t="s">
        <v>1141</v>
      </c>
      <c r="F2078" s="751">
        <v>99999</v>
      </c>
      <c r="G2078" s="752" t="s">
        <v>136</v>
      </c>
      <c r="H2078" s="752" t="s">
        <v>1245</v>
      </c>
      <c r="I2078" s="752" t="s">
        <v>1238</v>
      </c>
      <c r="J2078" s="751">
        <v>99999</v>
      </c>
      <c r="K2078" s="751">
        <v>2</v>
      </c>
      <c r="L2078" s="752" t="s">
        <v>54</v>
      </c>
      <c r="M2078" s="752" t="s">
        <v>468</v>
      </c>
      <c r="N2078" s="752" t="s">
        <v>469</v>
      </c>
      <c r="O2078" s="752" t="s">
        <v>469</v>
      </c>
      <c r="P2078" s="752" t="s">
        <v>1238</v>
      </c>
      <c r="Q2078" s="753">
        <v>0</v>
      </c>
      <c r="R2078" s="753">
        <v>0</v>
      </c>
      <c r="S2078" s="753">
        <v>1466</v>
      </c>
      <c r="T2078" s="753">
        <v>1466</v>
      </c>
      <c r="U2078" s="753">
        <v>164.691</v>
      </c>
      <c r="V2078" s="751">
        <v>2019</v>
      </c>
      <c r="W2078" s="222"/>
      <c r="X2078" s="186">
        <f>IF(OR(K2078&gt;3,T2078=0,NOT(U2078&gt;0)),"",T2078/U2078)</f>
        <v>8.9015186015022074</v>
      </c>
      <c r="Y2078" s="178" t="str">
        <f>IF(AND($M2078=$Y$2,$N2078=$Y$3,NOT($Q2078=$R2078),NOT($U2078=0)),IF($K2078=5,$S2078/($U2078+(8/5)*$U2078),IF($K2078=7,$S2078/($U2078+(29/25)*$U2078),"")),"")</f>
        <v/>
      </c>
      <c r="Z2078" s="178" t="str">
        <f>IF(AND($M2078=$Y$2,$N2078=$Y$4,NOT($Q2078=$R2078),NOT($U2078=0)),IF($K2078=5,$S2078/($U2078+(8/5)*$U2078),IF($K2078=7,$S2078/($U2078+(29/25)*$U2078),"")),"")</f>
        <v/>
      </c>
      <c r="AA2078" s="44"/>
      <c r="AB2078" s="65"/>
      <c r="AC2078" s="40"/>
    </row>
    <row r="2079" spans="1:29" hidden="1">
      <c r="A2079" s="751">
        <v>99999</v>
      </c>
      <c r="B2079" s="752" t="s">
        <v>35</v>
      </c>
      <c r="C2079" s="751" t="s">
        <v>2960</v>
      </c>
      <c r="D2079" s="752" t="s">
        <v>1141</v>
      </c>
      <c r="E2079" s="752" t="s">
        <v>1141</v>
      </c>
      <c r="F2079" s="751">
        <v>99999</v>
      </c>
      <c r="G2079" s="752" t="s">
        <v>59</v>
      </c>
      <c r="H2079" s="752" t="s">
        <v>1244</v>
      </c>
      <c r="I2079" s="752" t="s">
        <v>1238</v>
      </c>
      <c r="J2079" s="751">
        <v>99999</v>
      </c>
      <c r="K2079" s="751">
        <v>1</v>
      </c>
      <c r="L2079" s="752" t="s">
        <v>36</v>
      </c>
      <c r="M2079" s="752" t="s">
        <v>44</v>
      </c>
      <c r="N2079" s="752" t="s">
        <v>41</v>
      </c>
      <c r="O2079" s="752" t="s">
        <v>41</v>
      </c>
      <c r="P2079" s="752" t="s">
        <v>1091</v>
      </c>
      <c r="Q2079" s="753">
        <v>182503</v>
      </c>
      <c r="R2079" s="753">
        <v>182503</v>
      </c>
      <c r="S2079" s="753">
        <v>188526</v>
      </c>
      <c r="T2079" s="753">
        <v>188526</v>
      </c>
      <c r="U2079" s="753">
        <v>17006.652999999998</v>
      </c>
      <c r="V2079" s="751">
        <v>2019</v>
      </c>
      <c r="W2079" s="222"/>
      <c r="X2079" s="186"/>
      <c r="Y2079" s="178" t="str">
        <f>IF(AND($M2079=$Y$2,$N2079=$Y$3,NOT($Q2079=$R2079),NOT($U2079=0)),IF($K2079=5,$S2079/($U2079+(8/5)*$U2079),IF($K2079=7,$S2079/($U2079+(29/25)*$U2079),"")),"")</f>
        <v/>
      </c>
      <c r="Z2079" s="178" t="str">
        <f>IF(AND($M2079=$Y$2,$N2079=$Y$4,NOT($Q2079=$R2079),NOT($U2079=0)),IF($K2079=5,$S2079/($U2079+(8/5)*$U2079),IF($K2079=7,$S2079/($U2079+(29/25)*$U2079),"")),"")</f>
        <v/>
      </c>
      <c r="AA2079" s="44"/>
      <c r="AB2079" s="65"/>
      <c r="AC2079" s="40"/>
    </row>
    <row r="2080" spans="1:29" hidden="1">
      <c r="A2080" s="751">
        <v>99999</v>
      </c>
      <c r="B2080" s="752" t="s">
        <v>35</v>
      </c>
      <c r="C2080" s="751" t="s">
        <v>2960</v>
      </c>
      <c r="D2080" s="752" t="s">
        <v>1141</v>
      </c>
      <c r="E2080" s="752" t="s">
        <v>1141</v>
      </c>
      <c r="F2080" s="751">
        <v>99999</v>
      </c>
      <c r="G2080" s="752" t="s">
        <v>92</v>
      </c>
      <c r="H2080" s="752" t="s">
        <v>1245</v>
      </c>
      <c r="I2080" s="752" t="s">
        <v>1238</v>
      </c>
      <c r="J2080" s="751">
        <v>99999</v>
      </c>
      <c r="K2080" s="751">
        <v>2</v>
      </c>
      <c r="L2080" s="752" t="s">
        <v>54</v>
      </c>
      <c r="M2080" s="752" t="s">
        <v>44</v>
      </c>
      <c r="N2080" s="752" t="s">
        <v>63</v>
      </c>
      <c r="O2080" s="752" t="s">
        <v>63</v>
      </c>
      <c r="P2080" s="752" t="s">
        <v>49</v>
      </c>
      <c r="Q2080" s="753">
        <v>0</v>
      </c>
      <c r="R2080" s="753">
        <v>0</v>
      </c>
      <c r="S2080" s="753">
        <v>0</v>
      </c>
      <c r="T2080" s="753">
        <v>0</v>
      </c>
      <c r="U2080" s="753">
        <v>0</v>
      </c>
      <c r="V2080" s="751">
        <v>2019</v>
      </c>
      <c r="W2080" s="222"/>
      <c r="X2080" s="186"/>
      <c r="Y2080" s="178" t="str">
        <f>IF(AND($M2080=$Y$2,$N2080=$Y$3,NOT($Q2080=$R2080),NOT($U2080=0)),IF($K2080=5,$S2080/($U2080+(8/5)*$U2080),IF($K2080=7,$S2080/($U2080+(29/25)*$U2080),"")),"")</f>
        <v/>
      </c>
      <c r="Z2080" s="178" t="str">
        <f>IF(AND($M2080=$Y$2,$N2080=$Y$4,NOT($Q2080=$R2080),NOT($U2080=0)),IF($K2080=5,$S2080/($U2080+(8/5)*$U2080),IF($K2080=7,$S2080/($U2080+(29/25)*$U2080),"")),"")</f>
        <v/>
      </c>
      <c r="AA2080" s="44"/>
      <c r="AB2080" s="65"/>
      <c r="AC2080" s="40"/>
    </row>
    <row r="2081" spans="1:29" hidden="1">
      <c r="A2081" s="751">
        <v>99999</v>
      </c>
      <c r="B2081" s="752" t="s">
        <v>35</v>
      </c>
      <c r="C2081" s="751" t="s">
        <v>2960</v>
      </c>
      <c r="D2081" s="752" t="s">
        <v>1141</v>
      </c>
      <c r="E2081" s="752" t="s">
        <v>1141</v>
      </c>
      <c r="F2081" s="751">
        <v>99999</v>
      </c>
      <c r="G2081" s="752" t="s">
        <v>59</v>
      </c>
      <c r="H2081" s="752" t="s">
        <v>1244</v>
      </c>
      <c r="I2081" s="752" t="s">
        <v>1238</v>
      </c>
      <c r="J2081" s="751">
        <v>99999</v>
      </c>
      <c r="K2081" s="751">
        <v>1</v>
      </c>
      <c r="L2081" s="752" t="s">
        <v>36</v>
      </c>
      <c r="M2081" s="752" t="s">
        <v>44</v>
      </c>
      <c r="N2081" s="752" t="s">
        <v>63</v>
      </c>
      <c r="O2081" s="752" t="s">
        <v>63</v>
      </c>
      <c r="P2081" s="752" t="s">
        <v>49</v>
      </c>
      <c r="Q2081" s="753">
        <v>15190</v>
      </c>
      <c r="R2081" s="753">
        <v>15190</v>
      </c>
      <c r="S2081" s="753">
        <v>94132</v>
      </c>
      <c r="T2081" s="753">
        <v>94132</v>
      </c>
      <c r="U2081" s="753">
        <v>8490.0789999999997</v>
      </c>
      <c r="V2081" s="751">
        <v>2019</v>
      </c>
      <c r="W2081" s="222"/>
      <c r="X2081" s="186"/>
      <c r="Y2081" s="178" t="str">
        <f>IF(AND($M2081=$Y$2,$N2081=$Y$3,NOT($Q2081=$R2081),NOT($U2081=0)),IF($K2081=5,$S2081/($U2081+(8/5)*$U2081),IF($K2081=7,$S2081/($U2081+(29/25)*$U2081),"")),"")</f>
        <v/>
      </c>
      <c r="Z2081" s="178" t="str">
        <f>IF(AND($M2081=$Y$2,$N2081=$Y$4,NOT($Q2081=$R2081),NOT($U2081=0)),IF($K2081=5,$S2081/($U2081+(8/5)*$U2081),IF($K2081=7,$S2081/($U2081+(29/25)*$U2081),"")),"")</f>
        <v/>
      </c>
      <c r="AA2081" s="44"/>
      <c r="AB2081" s="65"/>
      <c r="AC2081" s="40"/>
    </row>
    <row r="2082" spans="1:29">
      <c r="A2082" s="2"/>
      <c r="B2082" s="2"/>
      <c r="C2082" s="2"/>
      <c r="D2082" s="2"/>
      <c r="E2082" s="2"/>
      <c r="F2082" s="2"/>
      <c r="G2082" s="2"/>
      <c r="H2082" s="2"/>
      <c r="I2082" s="2"/>
      <c r="J2082" s="2"/>
      <c r="K2082" s="2"/>
      <c r="L2082" s="2"/>
      <c r="M2082" s="2"/>
      <c r="N2082" s="2"/>
      <c r="O2082" s="2"/>
      <c r="P2082" s="2"/>
      <c r="Q2082" s="2"/>
      <c r="R2082" s="43"/>
      <c r="S2082" s="43"/>
      <c r="T2082" s="43"/>
      <c r="U2082" s="43"/>
      <c r="V2082" s="43"/>
      <c r="W2082" s="43"/>
      <c r="X2082" s="19"/>
      <c r="Y2082" s="19"/>
      <c r="Z2082" s="19"/>
      <c r="AA2082" s="44"/>
      <c r="AB2082" s="18"/>
      <c r="AC2082" s="40"/>
    </row>
    <row r="2083" spans="1:29">
      <c r="A2083" s="2"/>
      <c r="B2083" s="2"/>
      <c r="C2083" s="2"/>
      <c r="D2083" s="2"/>
      <c r="E2083" s="2"/>
      <c r="F2083" s="2"/>
      <c r="G2083" s="2"/>
      <c r="H2083" s="2"/>
      <c r="I2083" s="2"/>
      <c r="J2083" s="2"/>
      <c r="K2083" s="2"/>
      <c r="L2083" s="2"/>
      <c r="M2083" s="2"/>
      <c r="N2083" s="2"/>
      <c r="O2083" s="2"/>
      <c r="P2083" s="2"/>
      <c r="Q2083" s="2"/>
      <c r="R2083" s="43"/>
      <c r="S2083" s="43"/>
      <c r="T2083" s="43"/>
      <c r="U2083" s="19"/>
      <c r="V2083" s="19"/>
      <c r="W2083" s="19"/>
      <c r="X2083" s="19"/>
      <c r="Y2083" s="19"/>
      <c r="Z2083" s="19"/>
      <c r="AA2083" s="44"/>
      <c r="AB2083" s="2"/>
      <c r="AC2083" s="40"/>
    </row>
    <row r="2084" spans="1:29">
      <c r="Q2084"/>
      <c r="V2084" s="207"/>
      <c r="W2084" s="208"/>
      <c r="X2084" s="81" t="s">
        <v>1352</v>
      </c>
      <c r="Y2084" s="82">
        <f>AVERAGE(Y7:Y2081)</f>
        <v>5.8452382051426923</v>
      </c>
      <c r="AA2084" s="44"/>
      <c r="AC2084" s="18"/>
    </row>
    <row r="2085" spans="1:29">
      <c r="Q2085"/>
      <c r="V2085" s="207"/>
      <c r="W2085" s="208"/>
      <c r="X2085" s="81" t="s">
        <v>1353</v>
      </c>
      <c r="Y2085" s="82">
        <f>AVERAGE(Z7:Z2081)</f>
        <v>5.7177472324698106</v>
      </c>
      <c r="AA2085" s="44"/>
    </row>
    <row r="2086" spans="1:29">
      <c r="Q2086" s="46" t="s">
        <v>1235</v>
      </c>
      <c r="R2086" s="47"/>
      <c r="S2086" s="47"/>
      <c r="T2086" s="47"/>
      <c r="U2086" s="47"/>
      <c r="V2086" s="207"/>
      <c r="W2086" s="208"/>
      <c r="X2086" s="81" t="s">
        <v>1476</v>
      </c>
      <c r="Y2086" s="82">
        <f>SUM(T2106,T2131,T2156,T2181,T2206,T2231,T2256)/SUM(U2106,U2131,U2156,U2181,U2206,U2231,U2256)</f>
        <v>15.033228966217488</v>
      </c>
      <c r="AA2086" s="44"/>
    </row>
    <row r="2087" spans="1:29" ht="13" thickBot="1">
      <c r="G2087" s="154"/>
      <c r="Q2087" s="45">
        <f>SUBTOTAL(9,Q7:Q2081)</f>
        <v>2591008</v>
      </c>
      <c r="R2087" s="45">
        <f>SUBTOTAL(9,R7:R2081)</f>
        <v>2591008</v>
      </c>
      <c r="S2087" s="45">
        <f>SUBTOTAL(9,S7:S2081)</f>
        <v>2669389</v>
      </c>
      <c r="T2087" s="190">
        <f>SUBTOTAL(9,T7:T2081)</f>
        <v>2669389</v>
      </c>
      <c r="U2087" s="206">
        <f>SUBTOTAL(9,U7:U2081)</f>
        <v>328533</v>
      </c>
      <c r="V2087" s="207"/>
      <c r="W2087" s="208"/>
      <c r="X2087" s="81" t="s">
        <v>1477</v>
      </c>
      <c r="Y2087" s="82">
        <f>SUM(T2103,T2128,T2153,T2178,T2203,T2228,T2253)/SUM(U2103,U2128,U2153,U2178,U2203,U2228,U2253)</f>
        <v>11.67175105959517</v>
      </c>
      <c r="AA2087" s="44"/>
    </row>
    <row r="2088" spans="1:29" ht="52.5" thickBot="1">
      <c r="G2088" s="22"/>
      <c r="H2088" s="22"/>
      <c r="I2088" s="22"/>
      <c r="J2088" s="22"/>
      <c r="K2088" s="22"/>
      <c r="L2088" s="22"/>
      <c r="M2088" s="22"/>
      <c r="N2088" s="22"/>
      <c r="O2088" s="22"/>
      <c r="P2088" s="22"/>
      <c r="Q2088" s="23"/>
      <c r="R2088" s="23"/>
      <c r="S2088" s="23"/>
      <c r="T2088" s="191" t="s">
        <v>2426</v>
      </c>
      <c r="U2088" s="192">
        <f>T2087/U2087</f>
        <v>8.1251776838247611</v>
      </c>
      <c r="X2088" s="84" t="s">
        <v>1474</v>
      </c>
      <c r="Y2088" s="84" t="s">
        <v>1473</v>
      </c>
      <c r="Z2088" s="85" t="s">
        <v>2903</v>
      </c>
      <c r="AA2088" s="44"/>
      <c r="AB2088" s="40"/>
      <c r="AC2088" s="33"/>
    </row>
    <row r="2089" spans="1:29">
      <c r="G2089" s="5" t="s">
        <v>83</v>
      </c>
      <c r="H2089" s="6" t="s">
        <v>406</v>
      </c>
      <c r="I2089" s="6"/>
      <c r="J2089" s="6"/>
      <c r="K2089" s="6"/>
      <c r="L2089" s="6"/>
      <c r="M2089" s="7" t="s">
        <v>400</v>
      </c>
      <c r="N2089" s="8" t="s">
        <v>45</v>
      </c>
      <c r="O2089" s="8" t="s">
        <v>46</v>
      </c>
      <c r="P2089" s="6"/>
      <c r="Q2089" s="69">
        <f t="shared" ref="Q2089:T2101" si="93">SUMIFS(Q$7:Q$2081,$K$7:$K$2081, "&lt;4",$G$7:$G$2081,$G$2089,$N$7:$N$2081,$N2089)</f>
        <v>0</v>
      </c>
      <c r="R2089" s="69">
        <f t="shared" si="93"/>
        <v>0</v>
      </c>
      <c r="S2089" s="69">
        <f t="shared" si="93"/>
        <v>0</v>
      </c>
      <c r="T2089" s="73">
        <f t="shared" si="93"/>
        <v>0</v>
      </c>
      <c r="U2089" s="73">
        <f>SUMIFS(U$7:U$2082,$K$7:$K$2082, "&lt;4",$G$7:$G$2082,$G$2089,$N$7:$N$2082,$N2089)</f>
        <v>0</v>
      </c>
      <c r="V2089" s="70"/>
      <c r="W2089" s="223">
        <f t="shared" ref="W2089:W2101" si="94">SUMIFS(T$7:T$2081,$K$7:$K$2081, "&lt;4",$G$7:$G$2081,$G$2089,$N$7:$N$2081,$N2089, $W$7:$W$2081, "=x")</f>
        <v>0</v>
      </c>
      <c r="X2089" s="71">
        <f t="shared" ref="X2089:X2101" si="95">SUMIFS(T$7:T$2081,U$7:U$2081, "&gt;0",$K$7:$K$2081, "&lt;4",$G$7:$G$2081,$G$2089,$N$7:$N$2081,$N2089)</f>
        <v>0</v>
      </c>
      <c r="Y2089" s="71">
        <f t="shared" ref="Y2089:Y2101" si="96">SUMIFS(U$7:U$2081,U$7:U$2081, "&gt;0",$K$7:$K$2081, "&lt;4",$G$7:$G$2081,$G$2089,$N$7:$N$2081,$N2089)</f>
        <v>0</v>
      </c>
      <c r="Z2089" s="72" t="e">
        <f t="shared" ref="Z2089:Z2101" si="97">X2089/Y2089</f>
        <v>#DIV/0!</v>
      </c>
      <c r="AA2089" s="44"/>
      <c r="AB2089" s="40"/>
    </row>
    <row r="2090" spans="1:29">
      <c r="G2090" s="9"/>
      <c r="H2090" s="2"/>
      <c r="I2090" s="2"/>
      <c r="J2090" s="2"/>
      <c r="K2090" s="2"/>
      <c r="L2090" s="2"/>
      <c r="M2090" s="3" t="s">
        <v>401</v>
      </c>
      <c r="N2090" s="4" t="s">
        <v>50</v>
      </c>
      <c r="O2090" s="4" t="s">
        <v>46</v>
      </c>
      <c r="P2090" s="2"/>
      <c r="Q2090" s="73">
        <f t="shared" si="93"/>
        <v>0</v>
      </c>
      <c r="R2090" s="73">
        <f t="shared" si="93"/>
        <v>0</v>
      </c>
      <c r="S2090" s="73">
        <f t="shared" si="93"/>
        <v>0</v>
      </c>
      <c r="T2090" s="73">
        <f t="shared" si="93"/>
        <v>0</v>
      </c>
      <c r="U2090" s="73">
        <f t="shared" ref="U2090:U2101" si="98">SUMIFS(U$7:U$2081,$K$7:$K$2081, "&lt;4",$G$7:$G$2081,$G$2089,$N$7:$N$2081,$N2090)</f>
        <v>0</v>
      </c>
      <c r="V2090" s="74"/>
      <c r="W2090" s="224">
        <f t="shared" si="94"/>
        <v>0</v>
      </c>
      <c r="X2090" s="75">
        <f t="shared" si="95"/>
        <v>0</v>
      </c>
      <c r="Y2090" s="75">
        <f t="shared" si="96"/>
        <v>0</v>
      </c>
      <c r="Z2090" s="76" t="e">
        <f t="shared" si="97"/>
        <v>#DIV/0!</v>
      </c>
      <c r="AA2090" s="44"/>
      <c r="AB2090" s="40"/>
    </row>
    <row r="2091" spans="1:29" s="28" customFormat="1">
      <c r="G2091" s="174"/>
      <c r="H2091" s="145"/>
      <c r="I2091" s="145"/>
      <c r="J2091" s="145"/>
      <c r="K2091" s="145"/>
      <c r="L2091" s="145"/>
      <c r="M2091" s="169" t="s">
        <v>389</v>
      </c>
      <c r="N2091" s="170" t="s">
        <v>48</v>
      </c>
      <c r="O2091" s="170" t="s">
        <v>48</v>
      </c>
      <c r="P2091" s="145"/>
      <c r="Q2091" s="175">
        <f t="shared" si="93"/>
        <v>65388</v>
      </c>
      <c r="R2091" s="175">
        <f t="shared" si="93"/>
        <v>64608</v>
      </c>
      <c r="S2091" s="175">
        <f t="shared" si="93"/>
        <v>378373</v>
      </c>
      <c r="T2091" s="225">
        <f t="shared" si="93"/>
        <v>373857</v>
      </c>
      <c r="U2091" s="175">
        <f t="shared" si="98"/>
        <v>31825.315999999995</v>
      </c>
      <c r="V2091" s="150"/>
      <c r="W2091" s="224">
        <f t="shared" si="94"/>
        <v>214950</v>
      </c>
      <c r="X2091" s="176">
        <f t="shared" si="95"/>
        <v>372567</v>
      </c>
      <c r="Y2091" s="75">
        <f t="shared" si="96"/>
        <v>31983.179999999997</v>
      </c>
      <c r="Z2091" s="76">
        <f t="shared" si="97"/>
        <v>11.648841672404059</v>
      </c>
      <c r="AA2091" s="44"/>
      <c r="AB2091" s="40"/>
    </row>
    <row r="2092" spans="1:29">
      <c r="G2092" s="9"/>
      <c r="H2092" s="2"/>
      <c r="I2092" s="2"/>
      <c r="J2092" s="2"/>
      <c r="K2092" s="780"/>
      <c r="L2092" s="780"/>
      <c r="M2092" s="775" t="s">
        <v>3264</v>
      </c>
      <c r="N2092" s="4" t="s">
        <v>41</v>
      </c>
      <c r="O2092" s="4" t="s">
        <v>41</v>
      </c>
      <c r="P2092" s="2"/>
      <c r="Q2092" s="73">
        <f>SUMIFS(Q$7:Q$2081,$K$7:$K$2081, "&lt;4",$G$7:$G$2081,$G$2089,$N$7:$N$2081,$N2092)-Q2265</f>
        <v>112745749</v>
      </c>
      <c r="R2092" s="73">
        <f>SUMIFS(R$7:R$2081,$K$7:$K$2081, "&lt;4",$G$7:$G$2081,$G$2089,$N$7:$N$2081,$N2092)-R2265</f>
        <v>107286650</v>
      </c>
      <c r="S2092" s="73">
        <f>SUMIFS(S$7:S$2081,$K$7:$K$2081, "&lt;4",$G$7:$G$2081,$G$2089,$N$7:$N$2081,$N2092)-S2265</f>
        <v>116144291</v>
      </c>
      <c r="T2092" s="224">
        <f>SUMIFS(T$7:T$2081,$K$7:$K$2081, "&lt;4",$G$7:$G$2081,$G$2089,$N$7:$N$2081,$N2092)-T2265</f>
        <v>110529918</v>
      </c>
      <c r="U2092" s="73">
        <f>SUMIFS(U$7:U$2081,$K$7:$K$2081, "&lt;4",$G$7:$G$2081,$G$2089,$N$7:$N$2081,$N2092)-U2265</f>
        <v>14620238.507999998</v>
      </c>
      <c r="V2092" s="785"/>
      <c r="W2092" s="224">
        <f t="shared" si="94"/>
        <v>97853533</v>
      </c>
      <c r="X2092" s="776">
        <f>SUMIFS(T$7:T$2081,U$7:U$2081, "&gt;0",$K$7:$K$2081, "&lt;4",$G$7:$G$2081,$G$2089,$N$7:$N$2081,$N2092)-X2265</f>
        <v>110522712</v>
      </c>
      <c r="Y2092" s="776">
        <f>SUMIFS(U$7:U$2081,U$7:U$2081, "&gt;0",$K$7:$K$2081, "&lt;4",$G$7:$G$2081,$G$2089,$N$7:$N$2081,$N2092)-Y2265</f>
        <v>14620550.643999998</v>
      </c>
      <c r="Z2092" s="777">
        <f t="shared" si="97"/>
        <v>7.5594083076040963</v>
      </c>
      <c r="AA2092" s="44"/>
    </row>
    <row r="2093" spans="1:29">
      <c r="A2093" s="154"/>
      <c r="B2093" s="28"/>
      <c r="C2093" s="171" t="s">
        <v>3258</v>
      </c>
      <c r="D2093" s="171" t="s">
        <v>1349</v>
      </c>
      <c r="E2093" s="172">
        <f>T2093/(T2093+T2104)</f>
        <v>0.55000353765651022</v>
      </c>
      <c r="G2093" s="9"/>
      <c r="H2093" s="2"/>
      <c r="I2093" s="2"/>
      <c r="J2093" s="2"/>
      <c r="K2093" s="2"/>
      <c r="L2093" s="2"/>
      <c r="M2093" s="169" t="s">
        <v>402</v>
      </c>
      <c r="N2093" s="170" t="s">
        <v>19</v>
      </c>
      <c r="O2093" s="4" t="s">
        <v>84</v>
      </c>
      <c r="P2093" s="2"/>
      <c r="Q2093" s="73">
        <f t="shared" si="93"/>
        <v>1198515</v>
      </c>
      <c r="R2093" s="73">
        <f t="shared" si="93"/>
        <v>1198515</v>
      </c>
      <c r="S2093" s="73">
        <f t="shared" si="93"/>
        <v>16783111</v>
      </c>
      <c r="T2093" s="73">
        <f t="shared" si="93"/>
        <v>16783111</v>
      </c>
      <c r="U2093" s="73">
        <f t="shared" si="98"/>
        <v>911992.81499999994</v>
      </c>
      <c r="V2093" s="74"/>
      <c r="W2093" s="224">
        <f t="shared" si="94"/>
        <v>0</v>
      </c>
      <c r="X2093" s="75">
        <f t="shared" si="95"/>
        <v>16783111</v>
      </c>
      <c r="Y2093" s="75">
        <f t="shared" si="96"/>
        <v>911992.81499999994</v>
      </c>
      <c r="Z2093" s="76">
        <f t="shared" si="97"/>
        <v>18.402678972860112</v>
      </c>
      <c r="AA2093" s="44"/>
    </row>
    <row r="2094" spans="1:29">
      <c r="A2094" s="154"/>
      <c r="B2094" s="28"/>
      <c r="C2094" s="171"/>
      <c r="D2094" s="171" t="s">
        <v>1350</v>
      </c>
      <c r="E2094" s="172">
        <f>T2104/(T2093+T2104)</f>
        <v>0.44999646234348983</v>
      </c>
      <c r="G2094" s="9"/>
      <c r="H2094" s="2"/>
      <c r="I2094" s="2"/>
      <c r="J2094" s="2"/>
      <c r="K2094" s="2"/>
      <c r="L2094" s="145"/>
      <c r="M2094" s="169" t="s">
        <v>403</v>
      </c>
      <c r="N2094" s="170" t="s">
        <v>84</v>
      </c>
      <c r="O2094" s="170" t="s">
        <v>84</v>
      </c>
      <c r="P2094" s="145"/>
      <c r="Q2094" s="73">
        <f t="shared" si="93"/>
        <v>0</v>
      </c>
      <c r="R2094" s="73">
        <f t="shared" si="93"/>
        <v>0</v>
      </c>
      <c r="S2094" s="73">
        <f t="shared" si="93"/>
        <v>0</v>
      </c>
      <c r="T2094" s="73">
        <f t="shared" si="93"/>
        <v>0</v>
      </c>
      <c r="U2094" s="73">
        <f t="shared" si="98"/>
        <v>0</v>
      </c>
      <c r="V2094" s="74"/>
      <c r="W2094" s="224">
        <f t="shared" si="94"/>
        <v>0</v>
      </c>
      <c r="X2094" s="75">
        <f t="shared" si="95"/>
        <v>0</v>
      </c>
      <c r="Y2094" s="75">
        <f t="shared" si="96"/>
        <v>0</v>
      </c>
      <c r="Z2094" s="76" t="e">
        <f t="shared" si="97"/>
        <v>#DIV/0!</v>
      </c>
      <c r="AA2094" s="44"/>
    </row>
    <row r="2095" spans="1:29">
      <c r="B2095" s="28"/>
      <c r="C2095" s="28"/>
      <c r="D2095" s="28"/>
      <c r="E2095" s="28"/>
      <c r="G2095" s="9"/>
      <c r="H2095" s="2"/>
      <c r="I2095" s="2"/>
      <c r="J2095" s="2"/>
      <c r="K2095" s="2"/>
      <c r="L2095" s="145"/>
      <c r="M2095" s="169" t="s">
        <v>398</v>
      </c>
      <c r="N2095" s="209" t="s">
        <v>410</v>
      </c>
      <c r="O2095" s="209" t="s">
        <v>84</v>
      </c>
      <c r="P2095" s="145"/>
      <c r="Q2095" s="73">
        <f t="shared" si="93"/>
        <v>152</v>
      </c>
      <c r="R2095" s="73">
        <f t="shared" si="93"/>
        <v>152</v>
      </c>
      <c r="S2095" s="73">
        <f t="shared" si="93"/>
        <v>3648</v>
      </c>
      <c r="T2095" s="73">
        <f t="shared" si="93"/>
        <v>3648</v>
      </c>
      <c r="U2095" s="73">
        <f t="shared" si="98"/>
        <v>116.79600000000001</v>
      </c>
      <c r="V2095" s="74"/>
      <c r="W2095" s="224">
        <f t="shared" si="94"/>
        <v>0</v>
      </c>
      <c r="X2095" s="75">
        <f t="shared" si="95"/>
        <v>3648</v>
      </c>
      <c r="Y2095" s="75">
        <f t="shared" si="96"/>
        <v>116.79600000000001</v>
      </c>
      <c r="Z2095" s="76">
        <f t="shared" si="97"/>
        <v>31.233946368026302</v>
      </c>
      <c r="AB2095" s="19"/>
    </row>
    <row r="2096" spans="1:29">
      <c r="G2096" s="9"/>
      <c r="H2096" s="2"/>
      <c r="I2096" s="2"/>
      <c r="J2096" s="2"/>
      <c r="K2096" s="2"/>
      <c r="L2096" s="145"/>
      <c r="M2096" s="169" t="s">
        <v>391</v>
      </c>
      <c r="N2096" s="170" t="s">
        <v>67</v>
      </c>
      <c r="O2096" s="170" t="s">
        <v>67</v>
      </c>
      <c r="P2096" s="145"/>
      <c r="Q2096" s="73">
        <f t="shared" si="93"/>
        <v>0</v>
      </c>
      <c r="R2096" s="73">
        <f t="shared" si="93"/>
        <v>0</v>
      </c>
      <c r="S2096" s="73">
        <f t="shared" si="93"/>
        <v>0</v>
      </c>
      <c r="T2096" s="73">
        <f t="shared" si="93"/>
        <v>0</v>
      </c>
      <c r="U2096" s="73">
        <f t="shared" si="98"/>
        <v>0</v>
      </c>
      <c r="V2096" s="74"/>
      <c r="W2096" s="224">
        <f t="shared" si="94"/>
        <v>0</v>
      </c>
      <c r="X2096" s="75">
        <f t="shared" si="95"/>
        <v>0</v>
      </c>
      <c r="Y2096" s="75">
        <f t="shared" si="96"/>
        <v>0</v>
      </c>
      <c r="Z2096" s="76" t="e">
        <f t="shared" si="97"/>
        <v>#DIV/0!</v>
      </c>
      <c r="AB2096" s="19"/>
    </row>
    <row r="2097" spans="7:28">
      <c r="G2097" s="9"/>
      <c r="H2097" s="2"/>
      <c r="I2097" s="2"/>
      <c r="J2097" s="2"/>
      <c r="K2097" s="2"/>
      <c r="L2097" s="145"/>
      <c r="M2097" s="169" t="s">
        <v>390</v>
      </c>
      <c r="N2097" s="170" t="s">
        <v>63</v>
      </c>
      <c r="O2097" s="170" t="s">
        <v>63</v>
      </c>
      <c r="P2097" s="145"/>
      <c r="Q2097" s="73">
        <f t="shared" si="93"/>
        <v>109965</v>
      </c>
      <c r="R2097" s="73">
        <f t="shared" si="93"/>
        <v>109965</v>
      </c>
      <c r="S2097" s="73">
        <f t="shared" si="93"/>
        <v>692806</v>
      </c>
      <c r="T2097" s="224">
        <f t="shared" si="93"/>
        <v>692806</v>
      </c>
      <c r="U2097" s="73">
        <f t="shared" si="98"/>
        <v>53536.589</v>
      </c>
      <c r="V2097" s="74"/>
      <c r="W2097" s="224">
        <f t="shared" si="94"/>
        <v>692806</v>
      </c>
      <c r="X2097" s="75">
        <f t="shared" si="95"/>
        <v>692806</v>
      </c>
      <c r="Y2097" s="75">
        <f t="shared" si="96"/>
        <v>53536.589</v>
      </c>
      <c r="Z2097" s="76">
        <f t="shared" si="97"/>
        <v>12.940794565750164</v>
      </c>
      <c r="AB2097" s="19"/>
    </row>
    <row r="2098" spans="7:28">
      <c r="G2098" s="9"/>
      <c r="H2098" s="2"/>
      <c r="I2098" s="2"/>
      <c r="J2098" s="2"/>
      <c r="K2098" s="2"/>
      <c r="L2098" s="145"/>
      <c r="M2098" s="169" t="s">
        <v>392</v>
      </c>
      <c r="N2098" s="209" t="s">
        <v>68</v>
      </c>
      <c r="O2098" s="170" t="s">
        <v>69</v>
      </c>
      <c r="P2098" s="145"/>
      <c r="Q2098" s="73">
        <f t="shared" si="93"/>
        <v>0</v>
      </c>
      <c r="R2098" s="73">
        <f t="shared" si="93"/>
        <v>0</v>
      </c>
      <c r="S2098" s="73">
        <f t="shared" si="93"/>
        <v>0</v>
      </c>
      <c r="T2098" s="73">
        <f t="shared" si="93"/>
        <v>0</v>
      </c>
      <c r="U2098" s="73">
        <f t="shared" si="98"/>
        <v>0</v>
      </c>
      <c r="V2098" s="74"/>
      <c r="W2098" s="224">
        <f t="shared" si="94"/>
        <v>0</v>
      </c>
      <c r="X2098" s="75">
        <f t="shared" si="95"/>
        <v>0</v>
      </c>
      <c r="Y2098" s="75">
        <f t="shared" si="96"/>
        <v>0</v>
      </c>
      <c r="Z2098" s="76" t="e">
        <f t="shared" si="97"/>
        <v>#DIV/0!</v>
      </c>
      <c r="AB2098" s="19"/>
    </row>
    <row r="2099" spans="7:28">
      <c r="G2099" s="9"/>
      <c r="H2099" s="2"/>
      <c r="I2099" s="2"/>
      <c r="J2099" s="2"/>
      <c r="K2099" s="2"/>
      <c r="L2099" s="145"/>
      <c r="M2099" s="169" t="s">
        <v>393</v>
      </c>
      <c r="N2099" s="209" t="s">
        <v>78</v>
      </c>
      <c r="O2099" s="209" t="s">
        <v>69</v>
      </c>
      <c r="P2099" s="145"/>
      <c r="Q2099" s="73">
        <f t="shared" si="93"/>
        <v>2379</v>
      </c>
      <c r="R2099" s="73">
        <f t="shared" si="93"/>
        <v>2379</v>
      </c>
      <c r="S2099" s="73">
        <f t="shared" si="93"/>
        <v>13369</v>
      </c>
      <c r="T2099" s="224">
        <f t="shared" si="93"/>
        <v>13369</v>
      </c>
      <c r="U2099" s="73">
        <f t="shared" si="98"/>
        <v>804.46699999999998</v>
      </c>
      <c r="V2099" s="74"/>
      <c r="W2099" s="224">
        <f t="shared" si="94"/>
        <v>1646</v>
      </c>
      <c r="X2099" s="75">
        <f t="shared" si="95"/>
        <v>13369</v>
      </c>
      <c r="Y2099" s="75">
        <f t="shared" si="96"/>
        <v>804.46699999999998</v>
      </c>
      <c r="Z2099" s="76">
        <f t="shared" si="97"/>
        <v>16.618456692443569</v>
      </c>
      <c r="AB2099" s="19"/>
    </row>
    <row r="2100" spans="7:28">
      <c r="G2100" s="9"/>
      <c r="H2100" s="2"/>
      <c r="I2100" s="2"/>
      <c r="J2100" s="2"/>
      <c r="K2100" s="2"/>
      <c r="L2100" s="145"/>
      <c r="M2100" s="169" t="s">
        <v>394</v>
      </c>
      <c r="N2100" s="209" t="s">
        <v>75</v>
      </c>
      <c r="O2100" s="209" t="s">
        <v>69</v>
      </c>
      <c r="P2100" s="145"/>
      <c r="Q2100" s="73">
        <f t="shared" si="93"/>
        <v>0</v>
      </c>
      <c r="R2100" s="73">
        <f t="shared" si="93"/>
        <v>0</v>
      </c>
      <c r="S2100" s="73">
        <f t="shared" si="93"/>
        <v>0</v>
      </c>
      <c r="T2100" s="73">
        <f t="shared" si="93"/>
        <v>0</v>
      </c>
      <c r="U2100" s="73">
        <f t="shared" si="98"/>
        <v>0</v>
      </c>
      <c r="V2100" s="74"/>
      <c r="W2100" s="224">
        <f t="shared" si="94"/>
        <v>0</v>
      </c>
      <c r="X2100" s="75">
        <f t="shared" si="95"/>
        <v>0</v>
      </c>
      <c r="Y2100" s="75">
        <f t="shared" si="96"/>
        <v>0</v>
      </c>
      <c r="Z2100" s="76" t="e">
        <f t="shared" si="97"/>
        <v>#DIV/0!</v>
      </c>
      <c r="AB2100" s="19"/>
    </row>
    <row r="2101" spans="7:28">
      <c r="G2101" s="9"/>
      <c r="H2101" s="2"/>
      <c r="I2101" s="2"/>
      <c r="J2101" s="2"/>
      <c r="K2101" s="2"/>
      <c r="L2101" s="33"/>
      <c r="M2101" s="210" t="s">
        <v>448</v>
      </c>
      <c r="N2101" s="209" t="s">
        <v>439</v>
      </c>
      <c r="O2101" s="209" t="s">
        <v>440</v>
      </c>
      <c r="P2101" s="33"/>
      <c r="Q2101" s="73">
        <f t="shared" si="93"/>
        <v>0</v>
      </c>
      <c r="R2101" s="73">
        <f t="shared" si="93"/>
        <v>0</v>
      </c>
      <c r="S2101" s="73">
        <f t="shared" si="93"/>
        <v>0</v>
      </c>
      <c r="T2101" s="73">
        <f t="shared" si="93"/>
        <v>0</v>
      </c>
      <c r="U2101" s="73">
        <f t="shared" si="98"/>
        <v>0</v>
      </c>
      <c r="V2101" s="74"/>
      <c r="W2101" s="224">
        <f t="shared" si="94"/>
        <v>0</v>
      </c>
      <c r="X2101" s="75">
        <f t="shared" si="95"/>
        <v>0</v>
      </c>
      <c r="Y2101" s="75">
        <f t="shared" si="96"/>
        <v>0</v>
      </c>
      <c r="Z2101" s="76" t="e">
        <f t="shared" si="97"/>
        <v>#DIV/0!</v>
      </c>
      <c r="AB2101" s="19"/>
    </row>
    <row r="2102" spans="7:28">
      <c r="G2102" s="9"/>
      <c r="H2102" s="2"/>
      <c r="I2102" s="2"/>
      <c r="J2102" s="2"/>
      <c r="K2102" s="2"/>
      <c r="L2102" s="145"/>
      <c r="M2102" s="145"/>
      <c r="N2102" s="145"/>
      <c r="O2102" s="145"/>
      <c r="P2102" s="145"/>
      <c r="Q2102" s="2"/>
      <c r="R2102" s="2"/>
      <c r="S2102" s="2"/>
      <c r="T2102" s="2"/>
      <c r="U2102" s="2"/>
      <c r="V2102" s="2"/>
      <c r="W2102" s="19"/>
      <c r="X2102" s="2"/>
      <c r="Y2102" s="2"/>
      <c r="Z2102" s="80"/>
      <c r="AB2102" s="19"/>
    </row>
    <row r="2103" spans="7:28">
      <c r="G2103" s="9"/>
      <c r="H2103" s="2" t="s">
        <v>405</v>
      </c>
      <c r="I2103" s="2"/>
      <c r="J2103" s="2"/>
      <c r="K2103" s="2"/>
      <c r="L2103" s="145"/>
      <c r="M2103" s="169" t="s">
        <v>396</v>
      </c>
      <c r="N2103" s="170" t="s">
        <v>65</v>
      </c>
      <c r="O2103" s="170" t="s">
        <v>66</v>
      </c>
      <c r="P2103" s="145"/>
      <c r="Q2103" s="73">
        <f t="shared" ref="Q2103:U2110" si="99">SUMIFS(Q$7:Q$2081,$K$7:$K$2081, "&lt;4",$G$7:$G$2081,$G$2089,$N$7:$N$2081,$N2103)</f>
        <v>3632900</v>
      </c>
      <c r="R2103" s="73">
        <f t="shared" si="99"/>
        <v>3632900</v>
      </c>
      <c r="S2103" s="73">
        <f t="shared" si="99"/>
        <v>1776150</v>
      </c>
      <c r="T2103" s="73">
        <f t="shared" si="99"/>
        <v>1776150</v>
      </c>
      <c r="U2103" s="73">
        <f t="shared" si="99"/>
        <v>140137</v>
      </c>
      <c r="V2103" s="74"/>
      <c r="W2103" s="224">
        <f t="shared" ref="W2103:W2110" si="100">SUMIFS(T$7:T$2081,$K$7:$K$2081, "&lt;4",$G$7:$G$2081,$G$2089,$N$7:$N$2081,$N2103, $W$7:$W$2081, "=x")</f>
        <v>0</v>
      </c>
      <c r="X2103" s="75">
        <f t="shared" ref="X2103:X2110" si="101">SUMIFS(T$7:T$2081,U$7:U$2081, "&gt;0",$K$7:$K$2081, "&lt;4",$G$7:$G$2081,$G$2089,$N$7:$N$2081,$N2103)</f>
        <v>1776150</v>
      </c>
      <c r="Y2103" s="75">
        <f t="shared" ref="Y2103:Y2110" si="102">SUMIFS(U$7:U$2081,U$7:U$2081, "&gt;0",$K$7:$K$2081, "&lt;4",$G$7:$G$2081,$G$2089,$N$7:$N$2081,$N2103)</f>
        <v>140137</v>
      </c>
      <c r="Z2103" s="76">
        <f t="shared" ref="Z2103:Z2110" si="103">X2103/Y2103</f>
        <v>12.674382925280261</v>
      </c>
      <c r="AB2103" s="19"/>
    </row>
    <row r="2104" spans="7:28">
      <c r="G2104" s="9"/>
      <c r="H2104" s="2"/>
      <c r="I2104" s="2"/>
      <c r="J2104" s="2"/>
      <c r="K2104" s="2"/>
      <c r="L2104" s="145"/>
      <c r="M2104" s="169" t="s">
        <v>399</v>
      </c>
      <c r="N2104" s="170" t="s">
        <v>18</v>
      </c>
      <c r="O2104" s="170" t="s">
        <v>66</v>
      </c>
      <c r="P2104" s="145"/>
      <c r="Q2104" s="73">
        <f t="shared" si="99"/>
        <v>1874608</v>
      </c>
      <c r="R2104" s="73">
        <f t="shared" si="99"/>
        <v>1874608</v>
      </c>
      <c r="S2104" s="73">
        <f t="shared" si="99"/>
        <v>13731440</v>
      </c>
      <c r="T2104" s="73">
        <f t="shared" si="99"/>
        <v>13731440</v>
      </c>
      <c r="U2104" s="73">
        <f t="shared" si="99"/>
        <v>746165.05800000008</v>
      </c>
      <c r="V2104" s="74"/>
      <c r="W2104" s="224">
        <f t="shared" si="100"/>
        <v>0</v>
      </c>
      <c r="X2104" s="75">
        <f t="shared" si="101"/>
        <v>13731440</v>
      </c>
      <c r="Y2104" s="75">
        <f t="shared" si="102"/>
        <v>746165.05800000008</v>
      </c>
      <c r="Z2104" s="76">
        <f t="shared" si="103"/>
        <v>18.402684302593006</v>
      </c>
      <c r="AB2104" s="14"/>
    </row>
    <row r="2105" spans="7:28">
      <c r="G2105" s="9"/>
      <c r="H2105" s="2"/>
      <c r="I2105" s="2"/>
      <c r="J2105" s="2"/>
      <c r="K2105" s="2"/>
      <c r="L2105" s="145"/>
      <c r="M2105" s="169" t="s">
        <v>395</v>
      </c>
      <c r="N2105" s="209" t="s">
        <v>159</v>
      </c>
      <c r="O2105" s="209" t="s">
        <v>72</v>
      </c>
      <c r="P2105" s="145"/>
      <c r="Q2105" s="73">
        <f t="shared" si="99"/>
        <v>0</v>
      </c>
      <c r="R2105" s="73">
        <f t="shared" si="99"/>
        <v>0</v>
      </c>
      <c r="S2105" s="73">
        <f t="shared" si="99"/>
        <v>0</v>
      </c>
      <c r="T2105" s="73">
        <f t="shared" si="99"/>
        <v>0</v>
      </c>
      <c r="U2105" s="73">
        <f t="shared" si="99"/>
        <v>0</v>
      </c>
      <c r="V2105" s="74"/>
      <c r="W2105" s="224">
        <f t="shared" si="100"/>
        <v>0</v>
      </c>
      <c r="X2105" s="75">
        <f t="shared" si="101"/>
        <v>0</v>
      </c>
      <c r="Y2105" s="75">
        <f t="shared" si="102"/>
        <v>0</v>
      </c>
      <c r="Z2105" s="76" t="e">
        <f t="shared" si="103"/>
        <v>#DIV/0!</v>
      </c>
      <c r="AB2105" s="19"/>
    </row>
    <row r="2106" spans="7:28">
      <c r="G2106" s="9"/>
      <c r="H2106" s="2"/>
      <c r="I2106" s="2"/>
      <c r="J2106" s="2"/>
      <c r="K2106" s="2"/>
      <c r="L2106" s="145"/>
      <c r="M2106" s="169" t="s">
        <v>404</v>
      </c>
      <c r="N2106" s="209" t="s">
        <v>71</v>
      </c>
      <c r="O2106" s="209" t="s">
        <v>72</v>
      </c>
      <c r="P2106" s="145"/>
      <c r="Q2106" s="73">
        <f t="shared" si="99"/>
        <v>198324</v>
      </c>
      <c r="R2106" s="73">
        <f t="shared" si="99"/>
        <v>198324</v>
      </c>
      <c r="S2106" s="73">
        <f t="shared" si="99"/>
        <v>1832500</v>
      </c>
      <c r="T2106" s="73">
        <f t="shared" si="99"/>
        <v>1832500</v>
      </c>
      <c r="U2106" s="73">
        <f t="shared" si="99"/>
        <v>92086.48</v>
      </c>
      <c r="V2106" s="74"/>
      <c r="W2106" s="224">
        <f t="shared" si="100"/>
        <v>0</v>
      </c>
      <c r="X2106" s="75">
        <f t="shared" si="101"/>
        <v>1832500</v>
      </c>
      <c r="Y2106" s="75">
        <f t="shared" si="102"/>
        <v>92086.48</v>
      </c>
      <c r="Z2106" s="76">
        <f t="shared" si="103"/>
        <v>19.899772474743308</v>
      </c>
      <c r="AB2106" s="19"/>
    </row>
    <row r="2107" spans="7:28">
      <c r="G2107" s="9"/>
      <c r="H2107" s="2"/>
      <c r="I2107" s="2"/>
      <c r="J2107" s="2"/>
      <c r="K2107" s="2"/>
      <c r="L2107" s="145"/>
      <c r="M2107" s="169" t="s">
        <v>397</v>
      </c>
      <c r="N2107" s="170" t="s">
        <v>160</v>
      </c>
      <c r="O2107" s="170" t="s">
        <v>51</v>
      </c>
      <c r="P2107" s="145"/>
      <c r="Q2107" s="73">
        <f t="shared" si="99"/>
        <v>0</v>
      </c>
      <c r="R2107" s="73">
        <f t="shared" si="99"/>
        <v>0</v>
      </c>
      <c r="S2107" s="73">
        <f t="shared" si="99"/>
        <v>0</v>
      </c>
      <c r="T2107" s="73">
        <f t="shared" si="99"/>
        <v>0</v>
      </c>
      <c r="U2107" s="73">
        <f t="shared" si="99"/>
        <v>0</v>
      </c>
      <c r="V2107" s="74"/>
      <c r="W2107" s="224">
        <f t="shared" si="100"/>
        <v>0</v>
      </c>
      <c r="X2107" s="75">
        <f t="shared" si="101"/>
        <v>0</v>
      </c>
      <c r="Y2107" s="75">
        <f t="shared" si="102"/>
        <v>0</v>
      </c>
      <c r="Z2107" s="76" t="e">
        <f t="shared" si="103"/>
        <v>#DIV/0!</v>
      </c>
      <c r="AB2107" s="19"/>
    </row>
    <row r="2108" spans="7:28">
      <c r="G2108" s="9"/>
      <c r="H2108" s="2"/>
      <c r="I2108" s="2"/>
      <c r="J2108" s="2"/>
      <c r="K2108" s="2"/>
      <c r="L2108" s="33"/>
      <c r="M2108" s="210" t="s">
        <v>450</v>
      </c>
      <c r="N2108" s="209" t="s">
        <v>431</v>
      </c>
      <c r="O2108" s="209" t="s">
        <v>51</v>
      </c>
      <c r="P2108" s="145"/>
      <c r="Q2108" s="73">
        <f t="shared" si="99"/>
        <v>0</v>
      </c>
      <c r="R2108" s="73">
        <f t="shared" si="99"/>
        <v>0</v>
      </c>
      <c r="S2108" s="73">
        <f t="shared" si="99"/>
        <v>0</v>
      </c>
      <c r="T2108" s="73">
        <f t="shared" si="99"/>
        <v>0</v>
      </c>
      <c r="U2108" s="73">
        <f t="shared" si="99"/>
        <v>0</v>
      </c>
      <c r="V2108" s="74"/>
      <c r="W2108" s="224">
        <f t="shared" si="100"/>
        <v>0</v>
      </c>
      <c r="X2108" s="75">
        <f t="shared" si="101"/>
        <v>0</v>
      </c>
      <c r="Y2108" s="75">
        <f t="shared" si="102"/>
        <v>0</v>
      </c>
      <c r="Z2108" s="76" t="e">
        <f t="shared" si="103"/>
        <v>#DIV/0!</v>
      </c>
      <c r="AB2108" s="19"/>
    </row>
    <row r="2109" spans="7:28">
      <c r="G2109" s="9"/>
      <c r="H2109" s="2"/>
      <c r="I2109" s="2"/>
      <c r="J2109" s="2"/>
      <c r="K2109" s="2"/>
      <c r="L2109" s="33"/>
      <c r="M2109" s="210" t="s">
        <v>2657</v>
      </c>
      <c r="N2109" s="209" t="s">
        <v>436</v>
      </c>
      <c r="O2109" s="209" t="s">
        <v>51</v>
      </c>
      <c r="P2109" s="145"/>
      <c r="Q2109" s="73">
        <f t="shared" si="99"/>
        <v>0</v>
      </c>
      <c r="R2109" s="73">
        <f t="shared" si="99"/>
        <v>0</v>
      </c>
      <c r="S2109" s="73">
        <f t="shared" si="99"/>
        <v>0</v>
      </c>
      <c r="T2109" s="73">
        <f t="shared" si="99"/>
        <v>0</v>
      </c>
      <c r="U2109" s="73">
        <f t="shared" si="99"/>
        <v>0</v>
      </c>
      <c r="V2109" s="74"/>
      <c r="W2109" s="224">
        <f t="shared" si="100"/>
        <v>0</v>
      </c>
      <c r="X2109" s="75">
        <f t="shared" si="101"/>
        <v>0</v>
      </c>
      <c r="Y2109" s="75">
        <f t="shared" si="102"/>
        <v>0</v>
      </c>
      <c r="Z2109" s="76" t="e">
        <f t="shared" si="103"/>
        <v>#DIV/0!</v>
      </c>
      <c r="AB2109" s="19"/>
    </row>
    <row r="2110" spans="7:28">
      <c r="G2110" s="9"/>
      <c r="H2110" s="2"/>
      <c r="I2110" s="2"/>
      <c r="J2110" s="2"/>
      <c r="K2110" s="2"/>
      <c r="L2110" s="33"/>
      <c r="M2110" s="210" t="s">
        <v>449</v>
      </c>
      <c r="N2110" s="209" t="s">
        <v>70</v>
      </c>
      <c r="O2110" s="209" t="s">
        <v>51</v>
      </c>
      <c r="P2110" s="145"/>
      <c r="Q2110" s="73">
        <f t="shared" si="99"/>
        <v>0</v>
      </c>
      <c r="R2110" s="73">
        <f t="shared" si="99"/>
        <v>0</v>
      </c>
      <c r="S2110" s="73">
        <f t="shared" si="99"/>
        <v>0</v>
      </c>
      <c r="T2110" s="73">
        <f t="shared" si="99"/>
        <v>0</v>
      </c>
      <c r="U2110" s="73">
        <f t="shared" si="99"/>
        <v>0</v>
      </c>
      <c r="V2110" s="74"/>
      <c r="W2110" s="224">
        <f t="shared" si="100"/>
        <v>0</v>
      </c>
      <c r="X2110" s="75">
        <f t="shared" si="101"/>
        <v>0</v>
      </c>
      <c r="Y2110" s="75">
        <f t="shared" si="102"/>
        <v>0</v>
      </c>
      <c r="Z2110" s="76" t="e">
        <f t="shared" si="103"/>
        <v>#DIV/0!</v>
      </c>
      <c r="AB2110" s="19"/>
    </row>
    <row r="2111" spans="7:28" ht="13">
      <c r="G2111" s="10"/>
      <c r="H2111" s="11"/>
      <c r="I2111" s="11"/>
      <c r="J2111" s="11"/>
      <c r="K2111" s="11"/>
      <c r="L2111" s="211"/>
      <c r="M2111" s="211"/>
      <c r="N2111" s="211"/>
      <c r="O2111" s="212"/>
      <c r="P2111" s="211"/>
      <c r="Q2111" s="38">
        <f>SUM(Q2089:Q2110)</f>
        <v>119827980</v>
      </c>
      <c r="R2111" s="38">
        <f>SUM(R2089:R2110)</f>
        <v>114368101</v>
      </c>
      <c r="S2111" s="38">
        <f>SUM(S2089:S2110)</f>
        <v>151355688</v>
      </c>
      <c r="T2111" s="38">
        <f>SUM(T2089:T2110)</f>
        <v>145736799</v>
      </c>
      <c r="U2111" s="38">
        <f>SUM(U2089:U2110)</f>
        <v>16596903.028999997</v>
      </c>
      <c r="V2111" s="77"/>
      <c r="W2111" s="77"/>
      <c r="X2111" s="78"/>
      <c r="Y2111" s="78"/>
      <c r="Z2111" s="79"/>
      <c r="AB2111" s="19"/>
    </row>
    <row r="2112" spans="7:28">
      <c r="L2112" s="28"/>
      <c r="M2112" s="28"/>
      <c r="N2112" s="28"/>
      <c r="O2112" s="28"/>
      <c r="P2112" s="28"/>
      <c r="AB2112" s="19"/>
    </row>
    <row r="2113" spans="5:28">
      <c r="X2113" s="14"/>
      <c r="Y2113" s="14"/>
      <c r="Z2113" s="1"/>
      <c r="AB2113" s="2"/>
    </row>
    <row r="2114" spans="5:28">
      <c r="G2114" s="5" t="s">
        <v>43</v>
      </c>
      <c r="H2114" s="6" t="s">
        <v>406</v>
      </c>
      <c r="I2114" s="6"/>
      <c r="J2114" s="6"/>
      <c r="K2114" s="6"/>
      <c r="L2114" s="6"/>
      <c r="M2114" s="7" t="s">
        <v>400</v>
      </c>
      <c r="N2114" s="8" t="s">
        <v>45</v>
      </c>
      <c r="O2114" s="8" t="s">
        <v>46</v>
      </c>
      <c r="P2114" s="6"/>
      <c r="Q2114" s="69">
        <f t="shared" ref="Q2114:U2126" si="104">SUMIFS(Q$7:Q$2081,$K$7:$K$2081, "&lt;4",$G$7:$G$2081,$G$2114,$N$7:$N$2081,$N2114)</f>
        <v>0</v>
      </c>
      <c r="R2114" s="69">
        <f t="shared" si="104"/>
        <v>0</v>
      </c>
      <c r="S2114" s="69">
        <f t="shared" si="104"/>
        <v>0</v>
      </c>
      <c r="T2114" s="69">
        <f t="shared" si="104"/>
        <v>0</v>
      </c>
      <c r="U2114" s="69">
        <f t="shared" si="104"/>
        <v>0</v>
      </c>
      <c r="V2114" s="70"/>
      <c r="W2114" s="223">
        <f t="shared" ref="W2114:W2126" si="105">SUMIFS(T$7:T$2081,$K$7:$K$2081, "&lt;4",$G$7:$G$2081,$G$2114,$N$7:$N$2081,$N2114, $W$7:$W$2081, "=x")</f>
        <v>0</v>
      </c>
      <c r="X2114" s="71">
        <f t="shared" ref="X2114:X2126" si="106">SUMIFS(T$7:T$2081,U$7:U$2081, "&gt;0",$K$7:$K$2081, "&lt;4",$G$7:$G$2081,$G$2114,$N$7:$N$2081,$N2114)</f>
        <v>0</v>
      </c>
      <c r="Y2114" s="71">
        <f t="shared" ref="Y2114:Y2126" si="107">SUMIFS(U$7:U$2081,U$7:U$2081, "&gt;0",$K$7:$K$2081, "&lt;4",$G$7:$G$2081,$G$2114,$N$7:$N$2081,$N2114)</f>
        <v>0</v>
      </c>
      <c r="Z2114" s="72" t="e">
        <f t="shared" ref="Z2114:Z2126" si="108">X2114/Y2114</f>
        <v>#DIV/0!</v>
      </c>
    </row>
    <row r="2115" spans="5:28">
      <c r="G2115" s="9"/>
      <c r="H2115" s="2"/>
      <c r="I2115" s="2"/>
      <c r="J2115" s="2"/>
      <c r="K2115" s="2"/>
      <c r="L2115" s="2"/>
      <c r="M2115" s="3" t="s">
        <v>401</v>
      </c>
      <c r="N2115" s="4" t="s">
        <v>50</v>
      </c>
      <c r="O2115" s="4" t="s">
        <v>46</v>
      </c>
      <c r="P2115" s="2"/>
      <c r="Q2115" s="73">
        <f t="shared" si="104"/>
        <v>47528</v>
      </c>
      <c r="R2115" s="73">
        <f t="shared" si="104"/>
        <v>47528</v>
      </c>
      <c r="S2115" s="73">
        <f t="shared" si="104"/>
        <v>866911</v>
      </c>
      <c r="T2115" s="224">
        <f t="shared" si="104"/>
        <v>866911</v>
      </c>
      <c r="U2115" s="73">
        <f t="shared" si="104"/>
        <v>53051.733999999997</v>
      </c>
      <c r="V2115" s="74"/>
      <c r="W2115" s="224">
        <f t="shared" si="105"/>
        <v>866911</v>
      </c>
      <c r="X2115" s="75">
        <f t="shared" si="106"/>
        <v>866911</v>
      </c>
      <c r="Y2115" s="75">
        <f t="shared" si="107"/>
        <v>53051.733999999997</v>
      </c>
      <c r="Z2115" s="76">
        <f t="shared" si="108"/>
        <v>16.340860790714213</v>
      </c>
    </row>
    <row r="2116" spans="5:28">
      <c r="G2116" s="9"/>
      <c r="H2116" s="2"/>
      <c r="I2116" s="2"/>
      <c r="J2116" s="2"/>
      <c r="K2116" s="2"/>
      <c r="L2116" s="2"/>
      <c r="M2116" s="3" t="s">
        <v>389</v>
      </c>
      <c r="N2116" s="4" t="s">
        <v>48</v>
      </c>
      <c r="O2116" s="4" t="s">
        <v>48</v>
      </c>
      <c r="P2116" s="2"/>
      <c r="Q2116" s="73">
        <f t="shared" si="104"/>
        <v>30543</v>
      </c>
      <c r="R2116" s="73">
        <f t="shared" si="104"/>
        <v>30172</v>
      </c>
      <c r="S2116" s="73">
        <f t="shared" si="104"/>
        <v>177974</v>
      </c>
      <c r="T2116" s="224">
        <f t="shared" si="104"/>
        <v>175835</v>
      </c>
      <c r="U2116" s="73">
        <f t="shared" si="104"/>
        <v>1921.8769999999977</v>
      </c>
      <c r="V2116" s="74"/>
      <c r="W2116" s="224">
        <f t="shared" si="105"/>
        <v>80316</v>
      </c>
      <c r="X2116" s="75">
        <f t="shared" si="106"/>
        <v>123705</v>
      </c>
      <c r="Y2116" s="75">
        <f t="shared" si="107"/>
        <v>11422.337</v>
      </c>
      <c r="Z2116" s="76">
        <f t="shared" si="108"/>
        <v>10.830095452445503</v>
      </c>
    </row>
    <row r="2117" spans="5:28">
      <c r="G2117" s="9"/>
      <c r="H2117" s="2"/>
      <c r="I2117" s="2"/>
      <c r="J2117" s="2"/>
      <c r="K2117" s="780"/>
      <c r="L2117" s="780"/>
      <c r="M2117" s="775" t="s">
        <v>3264</v>
      </c>
      <c r="N2117" s="4" t="s">
        <v>41</v>
      </c>
      <c r="O2117" s="4" t="s">
        <v>41</v>
      </c>
      <c r="P2117" s="2"/>
      <c r="Q2117" s="73">
        <f>SUMIFS(Q$7:Q$2081,$K$7:$K$2081, "&lt;4",$G$7:$G$2081,$G$2114,$N$7:$N$2081,$N2117)-Q2266</f>
        <v>141258718</v>
      </c>
      <c r="R2117" s="73">
        <f>SUMIFS(R$7:R$2081,$K$7:$K$2081, "&lt;4",$G$7:$G$2081,$G$2114,$N$7:$N$2081,$N2117)-R2266</f>
        <v>140594579</v>
      </c>
      <c r="S2117" s="73">
        <f>SUMIFS(S$7:S$2081,$K$7:$K$2081, "&lt;4",$G$7:$G$2081,$G$2114,$N$7:$N$2081,$N2117)-S2266</f>
        <v>145473362</v>
      </c>
      <c r="T2117" s="224">
        <f>SUMIFS(T$7:T$2081,$K$7:$K$2081, "&lt;4",$G$7:$G$2081,$G$2114,$N$7:$N$2081,$N2117)-T2266</f>
        <v>144790857</v>
      </c>
      <c r="U2117" s="73">
        <f>SUMIFS(U$7:U$2081,$K$7:$K$2081, "&lt;4",$G$7:$G$2081,$G$2114,$N$7:$N$2081,$N2117)-U2266</f>
        <v>19981179.75</v>
      </c>
      <c r="V2117" s="785"/>
      <c r="W2117" s="224">
        <f t="shared" si="105"/>
        <v>130375688</v>
      </c>
      <c r="X2117" s="776">
        <f>SUMIFS(T$7:T$2081,U$7:U$2081, "&gt;0",$K$7:$K$2081, "&lt;4",$G$7:$G$2081,$G$2114,$N$7:$N$2081,$N2117)-X2266</f>
        <v>144773287</v>
      </c>
      <c r="Y2117" s="776">
        <f>SUMIFS(U$7:U$2081,U$7:U$2081, "&gt;0",$K$7:$K$2081, "&lt;4",$G$7:$G$2081,$G$2114,$N$7:$N$2081,$N2117)-Y2266</f>
        <v>19981955.112</v>
      </c>
      <c r="Z2117" s="777">
        <f t="shared" si="108"/>
        <v>7.2452012922928439</v>
      </c>
    </row>
    <row r="2118" spans="5:28">
      <c r="E2118" s="50">
        <f>T2118/(T2118+T2129)</f>
        <v>0.55000137914859837</v>
      </c>
      <c r="G2118" s="9"/>
      <c r="H2118" s="2"/>
      <c r="I2118" s="2"/>
      <c r="J2118" s="2"/>
      <c r="K2118" s="2"/>
      <c r="L2118" s="145"/>
      <c r="M2118" s="169" t="s">
        <v>402</v>
      </c>
      <c r="N2118" s="170" t="s">
        <v>19</v>
      </c>
      <c r="O2118" s="170" t="s">
        <v>84</v>
      </c>
      <c r="P2118" s="2"/>
      <c r="Q2118" s="73">
        <f t="shared" si="104"/>
        <v>737034</v>
      </c>
      <c r="R2118" s="73">
        <f t="shared" si="104"/>
        <v>737034</v>
      </c>
      <c r="S2118" s="73">
        <f t="shared" si="104"/>
        <v>10707720</v>
      </c>
      <c r="T2118" s="73">
        <f t="shared" si="104"/>
        <v>10707720</v>
      </c>
      <c r="U2118" s="73">
        <f t="shared" si="104"/>
        <v>578186.21900000004</v>
      </c>
      <c r="V2118" s="74"/>
      <c r="W2118" s="224">
        <f t="shared" si="105"/>
        <v>0</v>
      </c>
      <c r="X2118" s="75">
        <f t="shared" si="106"/>
        <v>10707720</v>
      </c>
      <c r="Y2118" s="75">
        <f t="shared" si="107"/>
        <v>578186.21900000004</v>
      </c>
      <c r="Z2118" s="76">
        <f t="shared" si="108"/>
        <v>18.519500548663196</v>
      </c>
    </row>
    <row r="2119" spans="5:28">
      <c r="E2119" s="50">
        <f>T2129/(T2118+T2129)</f>
        <v>0.44999862085140158</v>
      </c>
      <c r="G2119" s="9"/>
      <c r="H2119" s="2"/>
      <c r="I2119" s="2"/>
      <c r="J2119" s="2"/>
      <c r="K2119" s="2"/>
      <c r="L2119" s="145"/>
      <c r="M2119" s="169" t="s">
        <v>403</v>
      </c>
      <c r="N2119" s="170" t="s">
        <v>84</v>
      </c>
      <c r="O2119" s="170" t="s">
        <v>84</v>
      </c>
      <c r="P2119" s="2"/>
      <c r="Q2119" s="73">
        <f t="shared" si="104"/>
        <v>0</v>
      </c>
      <c r="R2119" s="73">
        <f t="shared" si="104"/>
        <v>0</v>
      </c>
      <c r="S2119" s="73">
        <f t="shared" si="104"/>
        <v>0</v>
      </c>
      <c r="T2119" s="73">
        <f t="shared" si="104"/>
        <v>0</v>
      </c>
      <c r="U2119" s="73">
        <f t="shared" si="104"/>
        <v>0</v>
      </c>
      <c r="V2119" s="74"/>
      <c r="W2119" s="224">
        <f t="shared" si="105"/>
        <v>0</v>
      </c>
      <c r="X2119" s="75">
        <f t="shared" si="106"/>
        <v>0</v>
      </c>
      <c r="Y2119" s="75">
        <f t="shared" si="107"/>
        <v>0</v>
      </c>
      <c r="Z2119" s="76" t="e">
        <f t="shared" si="108"/>
        <v>#DIV/0!</v>
      </c>
    </row>
    <row r="2120" spans="5:28">
      <c r="G2120" s="9"/>
      <c r="H2120" s="2"/>
      <c r="I2120" s="2"/>
      <c r="J2120" s="2"/>
      <c r="K2120" s="2"/>
      <c r="L2120" s="145"/>
      <c r="M2120" s="169" t="s">
        <v>398</v>
      </c>
      <c r="N2120" s="209" t="s">
        <v>410</v>
      </c>
      <c r="O2120" s="209" t="s">
        <v>84</v>
      </c>
      <c r="P2120" s="2"/>
      <c r="Q2120" s="73">
        <f t="shared" si="104"/>
        <v>0</v>
      </c>
      <c r="R2120" s="73">
        <f t="shared" si="104"/>
        <v>0</v>
      </c>
      <c r="S2120" s="73">
        <f t="shared" si="104"/>
        <v>0</v>
      </c>
      <c r="T2120" s="73">
        <f t="shared" si="104"/>
        <v>0</v>
      </c>
      <c r="U2120" s="73">
        <f t="shared" si="104"/>
        <v>0</v>
      </c>
      <c r="V2120" s="74"/>
      <c r="W2120" s="224">
        <f t="shared" si="105"/>
        <v>0</v>
      </c>
      <c r="X2120" s="75">
        <f t="shared" si="106"/>
        <v>0</v>
      </c>
      <c r="Y2120" s="75">
        <f t="shared" si="107"/>
        <v>0</v>
      </c>
      <c r="Z2120" s="76" t="e">
        <f t="shared" si="108"/>
        <v>#DIV/0!</v>
      </c>
    </row>
    <row r="2121" spans="5:28">
      <c r="G2121" s="9"/>
      <c r="H2121" s="2"/>
      <c r="I2121" s="2"/>
      <c r="J2121" s="2"/>
      <c r="K2121" s="2"/>
      <c r="L2121" s="145"/>
      <c r="M2121" s="169" t="s">
        <v>391</v>
      </c>
      <c r="N2121" s="170" t="s">
        <v>67</v>
      </c>
      <c r="O2121" s="170" t="s">
        <v>67</v>
      </c>
      <c r="P2121" s="2"/>
      <c r="Q2121" s="73">
        <f t="shared" si="104"/>
        <v>0</v>
      </c>
      <c r="R2121" s="73">
        <f t="shared" si="104"/>
        <v>0</v>
      </c>
      <c r="S2121" s="73">
        <f t="shared" si="104"/>
        <v>0</v>
      </c>
      <c r="T2121" s="73">
        <f t="shared" si="104"/>
        <v>0</v>
      </c>
      <c r="U2121" s="73">
        <f t="shared" si="104"/>
        <v>0</v>
      </c>
      <c r="V2121" s="74"/>
      <c r="W2121" s="224">
        <f t="shared" si="105"/>
        <v>0</v>
      </c>
      <c r="X2121" s="75">
        <f t="shared" si="106"/>
        <v>0</v>
      </c>
      <c r="Y2121" s="75">
        <f t="shared" si="107"/>
        <v>0</v>
      </c>
      <c r="Z2121" s="76" t="e">
        <f t="shared" si="108"/>
        <v>#DIV/0!</v>
      </c>
    </row>
    <row r="2122" spans="5:28">
      <c r="G2122" s="9"/>
      <c r="H2122" s="2"/>
      <c r="I2122" s="2"/>
      <c r="J2122" s="2"/>
      <c r="K2122" s="2"/>
      <c r="L2122" s="145"/>
      <c r="M2122" s="169" t="s">
        <v>390</v>
      </c>
      <c r="N2122" s="170" t="s">
        <v>63</v>
      </c>
      <c r="O2122" s="170" t="s">
        <v>63</v>
      </c>
      <c r="P2122" s="2"/>
      <c r="Q2122" s="73">
        <f t="shared" si="104"/>
        <v>16405</v>
      </c>
      <c r="R2122" s="73">
        <f t="shared" si="104"/>
        <v>16405</v>
      </c>
      <c r="S2122" s="73">
        <f t="shared" si="104"/>
        <v>103254</v>
      </c>
      <c r="T2122" s="224">
        <f t="shared" si="104"/>
        <v>103254</v>
      </c>
      <c r="U2122" s="73">
        <f t="shared" si="104"/>
        <v>3304.39</v>
      </c>
      <c r="V2122" s="74"/>
      <c r="W2122" s="224">
        <f t="shared" si="105"/>
        <v>103254</v>
      </c>
      <c r="X2122" s="75">
        <f t="shared" si="106"/>
        <v>93237</v>
      </c>
      <c r="Y2122" s="75">
        <f t="shared" si="107"/>
        <v>4680.5259999999998</v>
      </c>
      <c r="Z2122" s="76">
        <f t="shared" si="108"/>
        <v>19.92019700349918</v>
      </c>
    </row>
    <row r="2123" spans="5:28">
      <c r="G2123" s="9"/>
      <c r="H2123" s="2"/>
      <c r="I2123" s="2"/>
      <c r="J2123" s="2"/>
      <c r="K2123" s="2"/>
      <c r="L2123" s="145"/>
      <c r="M2123" s="169" t="s">
        <v>392</v>
      </c>
      <c r="N2123" s="209" t="s">
        <v>68</v>
      </c>
      <c r="O2123" s="170" t="s">
        <v>69</v>
      </c>
      <c r="P2123" s="2"/>
      <c r="Q2123" s="73">
        <f t="shared" si="104"/>
        <v>697</v>
      </c>
      <c r="R2123" s="73">
        <f t="shared" si="104"/>
        <v>697</v>
      </c>
      <c r="S2123" s="73">
        <f t="shared" si="104"/>
        <v>4182</v>
      </c>
      <c r="T2123" s="73">
        <f t="shared" si="104"/>
        <v>4182</v>
      </c>
      <c r="U2123" s="73">
        <f t="shared" si="104"/>
        <v>267</v>
      </c>
      <c r="V2123" s="74"/>
      <c r="W2123" s="224">
        <f t="shared" si="105"/>
        <v>0</v>
      </c>
      <c r="X2123" s="75">
        <f t="shared" si="106"/>
        <v>4182</v>
      </c>
      <c r="Y2123" s="75">
        <f t="shared" si="107"/>
        <v>267</v>
      </c>
      <c r="Z2123" s="76">
        <f t="shared" si="108"/>
        <v>15.662921348314606</v>
      </c>
    </row>
    <row r="2124" spans="5:28">
      <c r="G2124" s="9"/>
      <c r="H2124" s="2"/>
      <c r="I2124" s="2"/>
      <c r="J2124" s="2"/>
      <c r="K2124" s="2"/>
      <c r="L2124" s="145"/>
      <c r="M2124" s="169" t="s">
        <v>393</v>
      </c>
      <c r="N2124" s="209" t="s">
        <v>78</v>
      </c>
      <c r="O2124" s="209" t="s">
        <v>69</v>
      </c>
      <c r="P2124" s="2"/>
      <c r="Q2124" s="73">
        <f t="shared" si="104"/>
        <v>25850</v>
      </c>
      <c r="R2124" s="73">
        <f t="shared" si="104"/>
        <v>25850</v>
      </c>
      <c r="S2124" s="73">
        <f t="shared" si="104"/>
        <v>145238</v>
      </c>
      <c r="T2124" s="224">
        <f t="shared" si="104"/>
        <v>145238</v>
      </c>
      <c r="U2124" s="73">
        <f t="shared" si="104"/>
        <v>589.77700000000027</v>
      </c>
      <c r="V2124" s="74"/>
      <c r="W2124" s="224">
        <f t="shared" si="105"/>
        <v>69190</v>
      </c>
      <c r="X2124" s="75">
        <f t="shared" si="106"/>
        <v>64267</v>
      </c>
      <c r="Y2124" s="75">
        <f t="shared" si="107"/>
        <v>4460.415</v>
      </c>
      <c r="Z2124" s="76">
        <f t="shared" si="108"/>
        <v>14.408300572928752</v>
      </c>
    </row>
    <row r="2125" spans="5:28">
      <c r="G2125" s="9"/>
      <c r="H2125" s="2"/>
      <c r="I2125" s="2"/>
      <c r="J2125" s="2"/>
      <c r="K2125" s="2"/>
      <c r="L2125" s="145"/>
      <c r="M2125" s="169" t="s">
        <v>394</v>
      </c>
      <c r="N2125" s="209" t="s">
        <v>75</v>
      </c>
      <c r="O2125" s="209" t="s">
        <v>69</v>
      </c>
      <c r="P2125" s="2"/>
      <c r="Q2125" s="73">
        <f t="shared" si="104"/>
        <v>0</v>
      </c>
      <c r="R2125" s="73">
        <f t="shared" si="104"/>
        <v>0</v>
      </c>
      <c r="S2125" s="73">
        <f t="shared" si="104"/>
        <v>0</v>
      </c>
      <c r="T2125" s="73">
        <f t="shared" si="104"/>
        <v>0</v>
      </c>
      <c r="U2125" s="73">
        <f t="shared" si="104"/>
        <v>0</v>
      </c>
      <c r="V2125" s="74"/>
      <c r="W2125" s="224">
        <f t="shared" si="105"/>
        <v>0</v>
      </c>
      <c r="X2125" s="75">
        <f t="shared" si="106"/>
        <v>0</v>
      </c>
      <c r="Y2125" s="75">
        <f t="shared" si="107"/>
        <v>0</v>
      </c>
      <c r="Z2125" s="76" t="e">
        <f t="shared" si="108"/>
        <v>#DIV/0!</v>
      </c>
    </row>
    <row r="2126" spans="5:28">
      <c r="G2126" s="9"/>
      <c r="H2126" s="2"/>
      <c r="I2126" s="2"/>
      <c r="J2126" s="2"/>
      <c r="K2126" s="2"/>
      <c r="L2126" s="33"/>
      <c r="M2126" s="210" t="s">
        <v>448</v>
      </c>
      <c r="N2126" s="209" t="s">
        <v>439</v>
      </c>
      <c r="O2126" s="209" t="s">
        <v>440</v>
      </c>
      <c r="P2126" s="18"/>
      <c r="Q2126" s="73">
        <f t="shared" si="104"/>
        <v>0</v>
      </c>
      <c r="R2126" s="73">
        <f t="shared" si="104"/>
        <v>0</v>
      </c>
      <c r="S2126" s="73">
        <f t="shared" si="104"/>
        <v>0</v>
      </c>
      <c r="T2126" s="73">
        <f t="shared" si="104"/>
        <v>0</v>
      </c>
      <c r="U2126" s="73">
        <f t="shared" si="104"/>
        <v>0</v>
      </c>
      <c r="V2126" s="74"/>
      <c r="W2126" s="224">
        <f t="shared" si="105"/>
        <v>0</v>
      </c>
      <c r="X2126" s="75">
        <f t="shared" si="106"/>
        <v>0</v>
      </c>
      <c r="Y2126" s="75">
        <f t="shared" si="107"/>
        <v>0</v>
      </c>
      <c r="Z2126" s="76" t="e">
        <f t="shared" si="108"/>
        <v>#DIV/0!</v>
      </c>
    </row>
    <row r="2127" spans="5:28">
      <c r="G2127" s="9"/>
      <c r="H2127" s="2"/>
      <c r="I2127" s="2"/>
      <c r="J2127" s="2"/>
      <c r="K2127" s="2"/>
      <c r="L2127" s="145"/>
      <c r="M2127" s="145"/>
      <c r="N2127" s="145"/>
      <c r="O2127" s="145"/>
      <c r="P2127" s="2"/>
      <c r="Q2127" s="2"/>
      <c r="R2127" s="2"/>
      <c r="S2127" s="2"/>
      <c r="T2127" s="2"/>
      <c r="U2127" s="2"/>
      <c r="V2127" s="2"/>
      <c r="W2127" s="2"/>
      <c r="X2127" s="2"/>
      <c r="Y2127" s="2"/>
      <c r="Z2127" s="80"/>
    </row>
    <row r="2128" spans="5:28">
      <c r="G2128" s="9"/>
      <c r="H2128" s="2" t="s">
        <v>405</v>
      </c>
      <c r="I2128" s="2"/>
      <c r="J2128" s="2"/>
      <c r="K2128" s="2"/>
      <c r="L2128" s="145"/>
      <c r="M2128" s="169" t="s">
        <v>396</v>
      </c>
      <c r="N2128" s="170" t="s">
        <v>65</v>
      </c>
      <c r="O2128" s="170" t="s">
        <v>66</v>
      </c>
      <c r="P2128" s="2"/>
      <c r="Q2128" s="73">
        <f t="shared" ref="Q2128:U2135" si="109">SUMIFS(Q$7:Q$2081,$K$7:$K$2081, "&lt;4",$G$7:$G$2081,$G$2114,$N$7:$N$2081,$N2128)</f>
        <v>169039</v>
      </c>
      <c r="R2128" s="73">
        <f t="shared" si="109"/>
        <v>169039</v>
      </c>
      <c r="S2128" s="73">
        <f t="shared" si="109"/>
        <v>88406</v>
      </c>
      <c r="T2128" s="73">
        <f t="shared" si="109"/>
        <v>88406</v>
      </c>
      <c r="U2128" s="73">
        <f t="shared" si="109"/>
        <v>7124</v>
      </c>
      <c r="V2128" s="74"/>
      <c r="W2128" s="224">
        <f t="shared" ref="W2128:W2135" si="110">SUMIFS(T$7:T$2081,$K$7:$K$2081, "&lt;4",$G$7:$G$2081,$G$2114,$N$7:$N$2081,$N2128, $W$7:$W$2081, "=x")</f>
        <v>0</v>
      </c>
      <c r="X2128" s="75">
        <f t="shared" ref="X2128:X2135" si="111">SUMIFS(T$7:T$2081,U$7:U$2081, "&gt;0",$K$7:$K$2081, "&lt;4",$G$7:$G$2081,$G$2114,$N$7:$N$2081,$N2128)</f>
        <v>88406</v>
      </c>
      <c r="Y2128" s="75">
        <f t="shared" ref="Y2128:Y2135" si="112">SUMIFS(U$7:U$2081,U$7:U$2081, "&gt;0",$K$7:$K$2081, "&lt;4",$G$7:$G$2081,$G$2114,$N$7:$N$2081,$N2128)</f>
        <v>7124</v>
      </c>
      <c r="Z2128" s="76">
        <f t="shared" ref="Z2128:Z2135" si="113">X2128/Y2128</f>
        <v>12.409601347557551</v>
      </c>
    </row>
    <row r="2129" spans="5:26">
      <c r="G2129" s="9"/>
      <c r="H2129" s="2"/>
      <c r="I2129" s="2"/>
      <c r="J2129" s="2"/>
      <c r="K2129" s="2"/>
      <c r="L2129" s="145"/>
      <c r="M2129" s="169" t="s">
        <v>399</v>
      </c>
      <c r="N2129" s="170" t="s">
        <v>18</v>
      </c>
      <c r="O2129" s="170" t="s">
        <v>66</v>
      </c>
      <c r="P2129" s="2"/>
      <c r="Q2129" s="73">
        <f t="shared" si="109"/>
        <v>1152812</v>
      </c>
      <c r="R2129" s="73">
        <f t="shared" si="109"/>
        <v>1152812</v>
      </c>
      <c r="S2129" s="73">
        <f t="shared" si="109"/>
        <v>8760813</v>
      </c>
      <c r="T2129" s="73">
        <f t="shared" si="109"/>
        <v>8760813</v>
      </c>
      <c r="U2129" s="73">
        <f t="shared" si="109"/>
        <v>473058.91700000002</v>
      </c>
      <c r="V2129" s="74"/>
      <c r="W2129" s="224">
        <f t="shared" si="110"/>
        <v>0</v>
      </c>
      <c r="X2129" s="75">
        <f t="shared" si="111"/>
        <v>8760813</v>
      </c>
      <c r="Y2129" s="75">
        <f t="shared" si="112"/>
        <v>473058.91700000002</v>
      </c>
      <c r="Z2129" s="76">
        <f t="shared" si="113"/>
        <v>18.519496589470272</v>
      </c>
    </row>
    <row r="2130" spans="5:26">
      <c r="G2130" s="9"/>
      <c r="H2130" s="2"/>
      <c r="I2130" s="2"/>
      <c r="J2130" s="2"/>
      <c r="K2130" s="2"/>
      <c r="L2130" s="145"/>
      <c r="M2130" s="169" t="s">
        <v>395</v>
      </c>
      <c r="N2130" s="209" t="s">
        <v>159</v>
      </c>
      <c r="O2130" s="209" t="s">
        <v>72</v>
      </c>
      <c r="P2130" s="2"/>
      <c r="Q2130" s="73">
        <f t="shared" si="109"/>
        <v>0</v>
      </c>
      <c r="R2130" s="73">
        <f t="shared" si="109"/>
        <v>0</v>
      </c>
      <c r="S2130" s="73">
        <f t="shared" si="109"/>
        <v>0</v>
      </c>
      <c r="T2130" s="73">
        <f t="shared" si="109"/>
        <v>0</v>
      </c>
      <c r="U2130" s="73">
        <f t="shared" si="109"/>
        <v>0</v>
      </c>
      <c r="V2130" s="74"/>
      <c r="W2130" s="224">
        <f t="shared" si="110"/>
        <v>0</v>
      </c>
      <c r="X2130" s="75">
        <f t="shared" si="111"/>
        <v>0</v>
      </c>
      <c r="Y2130" s="75">
        <f t="shared" si="112"/>
        <v>0</v>
      </c>
      <c r="Z2130" s="76" t="e">
        <f t="shared" si="113"/>
        <v>#DIV/0!</v>
      </c>
    </row>
    <row r="2131" spans="5:26">
      <c r="G2131" s="9"/>
      <c r="H2131" s="2"/>
      <c r="I2131" s="2"/>
      <c r="J2131" s="2"/>
      <c r="K2131" s="2"/>
      <c r="L2131" s="145"/>
      <c r="M2131" s="169" t="s">
        <v>404</v>
      </c>
      <c r="N2131" s="209" t="s">
        <v>71</v>
      </c>
      <c r="O2131" s="209" t="s">
        <v>72</v>
      </c>
      <c r="P2131" s="2"/>
      <c r="Q2131" s="73">
        <f t="shared" si="109"/>
        <v>343140</v>
      </c>
      <c r="R2131" s="73">
        <f t="shared" si="109"/>
        <v>343140</v>
      </c>
      <c r="S2131" s="73">
        <f t="shared" si="109"/>
        <v>3156889</v>
      </c>
      <c r="T2131" s="73">
        <f t="shared" si="109"/>
        <v>3156889</v>
      </c>
      <c r="U2131" s="73">
        <f t="shared" si="109"/>
        <v>268419.48</v>
      </c>
      <c r="V2131" s="74"/>
      <c r="W2131" s="224">
        <f t="shared" si="110"/>
        <v>0</v>
      </c>
      <c r="X2131" s="75">
        <f t="shared" si="111"/>
        <v>3156889</v>
      </c>
      <c r="Y2131" s="75">
        <f t="shared" si="112"/>
        <v>268419.48</v>
      </c>
      <c r="Z2131" s="76">
        <f t="shared" si="113"/>
        <v>11.761027925394984</v>
      </c>
    </row>
    <row r="2132" spans="5:26">
      <c r="G2132" s="9"/>
      <c r="H2132" s="2"/>
      <c r="I2132" s="2"/>
      <c r="J2132" s="2"/>
      <c r="K2132" s="2"/>
      <c r="L2132" s="145"/>
      <c r="M2132" s="169" t="s">
        <v>397</v>
      </c>
      <c r="N2132" s="170" t="s">
        <v>160</v>
      </c>
      <c r="O2132" s="170" t="s">
        <v>51</v>
      </c>
      <c r="P2132" s="2"/>
      <c r="Q2132" s="73">
        <f t="shared" si="109"/>
        <v>0</v>
      </c>
      <c r="R2132" s="73">
        <f t="shared" si="109"/>
        <v>0</v>
      </c>
      <c r="S2132" s="73">
        <f t="shared" si="109"/>
        <v>0</v>
      </c>
      <c r="T2132" s="73">
        <f t="shared" si="109"/>
        <v>0</v>
      </c>
      <c r="U2132" s="73">
        <f t="shared" si="109"/>
        <v>0</v>
      </c>
      <c r="V2132" s="74"/>
      <c r="W2132" s="224">
        <f t="shared" si="110"/>
        <v>0</v>
      </c>
      <c r="X2132" s="75">
        <f t="shared" si="111"/>
        <v>0</v>
      </c>
      <c r="Y2132" s="75">
        <f t="shared" si="112"/>
        <v>0</v>
      </c>
      <c r="Z2132" s="76" t="e">
        <f t="shared" si="113"/>
        <v>#DIV/0!</v>
      </c>
    </row>
    <row r="2133" spans="5:26">
      <c r="G2133" s="9"/>
      <c r="H2133" s="2"/>
      <c r="I2133" s="2"/>
      <c r="J2133" s="2"/>
      <c r="K2133" s="2"/>
      <c r="L2133" s="33"/>
      <c r="M2133" s="210" t="s">
        <v>450</v>
      </c>
      <c r="N2133" s="209" t="s">
        <v>431</v>
      </c>
      <c r="O2133" s="209" t="s">
        <v>51</v>
      </c>
      <c r="P2133" s="2"/>
      <c r="Q2133" s="73">
        <f t="shared" si="109"/>
        <v>0</v>
      </c>
      <c r="R2133" s="73">
        <f t="shared" si="109"/>
        <v>0</v>
      </c>
      <c r="S2133" s="73">
        <f t="shared" si="109"/>
        <v>0</v>
      </c>
      <c r="T2133" s="73">
        <f t="shared" si="109"/>
        <v>0</v>
      </c>
      <c r="U2133" s="73">
        <f t="shared" si="109"/>
        <v>0</v>
      </c>
      <c r="V2133" s="74"/>
      <c r="W2133" s="224">
        <f t="shared" si="110"/>
        <v>0</v>
      </c>
      <c r="X2133" s="75">
        <f t="shared" si="111"/>
        <v>0</v>
      </c>
      <c r="Y2133" s="75">
        <f t="shared" si="112"/>
        <v>0</v>
      </c>
      <c r="Z2133" s="76" t="e">
        <f t="shared" si="113"/>
        <v>#DIV/0!</v>
      </c>
    </row>
    <row r="2134" spans="5:26">
      <c r="G2134" s="9"/>
      <c r="H2134" s="2"/>
      <c r="I2134" s="2"/>
      <c r="J2134" s="2"/>
      <c r="K2134" s="2"/>
      <c r="L2134" s="33"/>
      <c r="M2134" s="210" t="s">
        <v>2657</v>
      </c>
      <c r="N2134" s="209" t="s">
        <v>436</v>
      </c>
      <c r="O2134" s="209" t="s">
        <v>51</v>
      </c>
      <c r="P2134" s="2"/>
      <c r="Q2134" s="73">
        <f t="shared" si="109"/>
        <v>1776</v>
      </c>
      <c r="R2134" s="73">
        <f t="shared" si="109"/>
        <v>1776</v>
      </c>
      <c r="S2134" s="73">
        <f t="shared" si="109"/>
        <v>9060</v>
      </c>
      <c r="T2134" s="73">
        <f t="shared" si="109"/>
        <v>9060</v>
      </c>
      <c r="U2134" s="73">
        <f t="shared" si="109"/>
        <v>768.51700000000005</v>
      </c>
      <c r="V2134" s="74"/>
      <c r="W2134" s="224">
        <f t="shared" si="110"/>
        <v>0</v>
      </c>
      <c r="X2134" s="75">
        <f t="shared" si="111"/>
        <v>9060</v>
      </c>
      <c r="Y2134" s="75">
        <f t="shared" si="112"/>
        <v>768.51700000000005</v>
      </c>
      <c r="Z2134" s="76">
        <f t="shared" si="113"/>
        <v>11.788938956457697</v>
      </c>
    </row>
    <row r="2135" spans="5:26">
      <c r="G2135" s="9"/>
      <c r="H2135" s="2"/>
      <c r="I2135" s="2"/>
      <c r="J2135" s="2"/>
      <c r="K2135" s="2"/>
      <c r="L2135" s="33"/>
      <c r="M2135" s="210" t="s">
        <v>449</v>
      </c>
      <c r="N2135" s="209" t="s">
        <v>70</v>
      </c>
      <c r="O2135" s="209" t="s">
        <v>51</v>
      </c>
      <c r="P2135" s="2"/>
      <c r="Q2135" s="73">
        <f t="shared" si="109"/>
        <v>0</v>
      </c>
      <c r="R2135" s="73">
        <f t="shared" si="109"/>
        <v>0</v>
      </c>
      <c r="S2135" s="73">
        <f t="shared" si="109"/>
        <v>0</v>
      </c>
      <c r="T2135" s="73">
        <f t="shared" si="109"/>
        <v>0</v>
      </c>
      <c r="U2135" s="73">
        <f t="shared" si="109"/>
        <v>0</v>
      </c>
      <c r="V2135" s="74"/>
      <c r="W2135" s="224">
        <f t="shared" si="110"/>
        <v>0</v>
      </c>
      <c r="X2135" s="75">
        <f t="shared" si="111"/>
        <v>0</v>
      </c>
      <c r="Y2135" s="75">
        <f t="shared" si="112"/>
        <v>0</v>
      </c>
      <c r="Z2135" s="76" t="e">
        <f t="shared" si="113"/>
        <v>#DIV/0!</v>
      </c>
    </row>
    <row r="2136" spans="5:26" ht="13">
      <c r="G2136" s="10"/>
      <c r="H2136" s="11"/>
      <c r="I2136" s="11"/>
      <c r="J2136" s="11"/>
      <c r="K2136" s="11"/>
      <c r="L2136" s="211"/>
      <c r="M2136" s="211"/>
      <c r="N2136" s="211"/>
      <c r="O2136" s="212"/>
      <c r="P2136" s="11"/>
      <c r="Q2136" s="38">
        <f>SUM(Q2114:Q2135)</f>
        <v>143783542</v>
      </c>
      <c r="R2136" s="38">
        <f>SUM(R2114:R2135)</f>
        <v>143119032</v>
      </c>
      <c r="S2136" s="38">
        <f>SUM(S2114:S2135)</f>
        <v>169493809</v>
      </c>
      <c r="T2136" s="38">
        <f>SUM(T2114:T2135)</f>
        <v>168809165</v>
      </c>
      <c r="U2136" s="38">
        <f>SUM(U2114:U2135)</f>
        <v>21367871.661000002</v>
      </c>
      <c r="V2136" s="77"/>
      <c r="W2136" s="77"/>
      <c r="X2136" s="78"/>
      <c r="Y2136" s="78"/>
      <c r="Z2136" s="79"/>
    </row>
    <row r="2137" spans="5:26">
      <c r="L2137" s="28"/>
      <c r="M2137" s="28"/>
      <c r="N2137" s="28"/>
      <c r="O2137" s="28"/>
    </row>
    <row r="2138" spans="5:26">
      <c r="L2138" s="28"/>
      <c r="M2138" s="28"/>
      <c r="N2138" s="28"/>
      <c r="O2138" s="28"/>
      <c r="X2138" s="14"/>
      <c r="Y2138" s="14"/>
      <c r="Z2138" s="1"/>
    </row>
    <row r="2139" spans="5:26">
      <c r="G2139" s="5" t="s">
        <v>92</v>
      </c>
      <c r="H2139" s="6" t="s">
        <v>406</v>
      </c>
      <c r="I2139" s="6"/>
      <c r="J2139" s="6"/>
      <c r="K2139" s="6"/>
      <c r="L2139" s="213"/>
      <c r="M2139" s="214" t="s">
        <v>400</v>
      </c>
      <c r="N2139" s="215" t="s">
        <v>45</v>
      </c>
      <c r="O2139" s="215" t="s">
        <v>46</v>
      </c>
      <c r="P2139" s="6"/>
      <c r="Q2139" s="69">
        <f t="shared" ref="Q2139:U2151" si="114">SUMIFS(Q$7:Q$2081,$K$7:$K$2081, "&lt;4",$G$7:$G$2081,$G$2139,$N$7:$N$2081,$N2139)</f>
        <v>69362</v>
      </c>
      <c r="R2139" s="69">
        <f t="shared" si="114"/>
        <v>13197</v>
      </c>
      <c r="S2139" s="69">
        <f t="shared" si="114"/>
        <v>1710842</v>
      </c>
      <c r="T2139" s="69">
        <f t="shared" si="114"/>
        <v>325521</v>
      </c>
      <c r="U2139" s="69">
        <f t="shared" si="114"/>
        <v>60525.192999999999</v>
      </c>
      <c r="V2139" s="70"/>
      <c r="W2139" s="223">
        <f t="shared" ref="W2139:W2151" si="115">SUMIFS(T$7:T$2081,$K$7:$K$2081, "&lt;4",$G$7:$G$2081,$G$2139,$N$7:$N$2081,$N2139, $W$7:$W$2081, "=x")</f>
        <v>0</v>
      </c>
      <c r="X2139" s="71">
        <f t="shared" ref="X2139:X2151" si="116">SUMIFS(T$7:T$2081,U$7:U$2081, "&gt;0",$K$7:$K$2081, "&lt;4",$G$7:$G$2081,$G$2139,$N$7:$N$2081,$N2139)</f>
        <v>325521</v>
      </c>
      <c r="Y2139" s="71">
        <f t="shared" ref="Y2139:Y2151" si="117">SUMIFS(U$7:U$2081,U$7:U$2081, "&gt;0",$K$7:$K$2081, "&lt;4",$G$7:$G$2081,$G$2139,$N$7:$N$2081,$N2139)</f>
        <v>60525.192999999999</v>
      </c>
      <c r="Z2139" s="72">
        <f t="shared" ref="Z2139:Z2151" si="118">X2139/Y2139</f>
        <v>5.3782728127773174</v>
      </c>
    </row>
    <row r="2140" spans="5:26">
      <c r="G2140" s="9"/>
      <c r="H2140" s="2"/>
      <c r="I2140" s="2"/>
      <c r="J2140" s="2"/>
      <c r="K2140" s="2"/>
      <c r="L2140" s="145"/>
      <c r="M2140" s="169" t="s">
        <v>401</v>
      </c>
      <c r="N2140" s="170" t="s">
        <v>50</v>
      </c>
      <c r="O2140" s="170" t="s">
        <v>46</v>
      </c>
      <c r="P2140" s="2"/>
      <c r="Q2140" s="73">
        <f t="shared" si="114"/>
        <v>0</v>
      </c>
      <c r="R2140" s="73">
        <f t="shared" si="114"/>
        <v>0</v>
      </c>
      <c r="S2140" s="73">
        <f t="shared" si="114"/>
        <v>0</v>
      </c>
      <c r="T2140" s="73">
        <f t="shared" si="114"/>
        <v>0</v>
      </c>
      <c r="U2140" s="73">
        <f t="shared" si="114"/>
        <v>0</v>
      </c>
      <c r="V2140" s="74"/>
      <c r="W2140" s="224">
        <f t="shared" si="115"/>
        <v>0</v>
      </c>
      <c r="X2140" s="75">
        <f t="shared" si="116"/>
        <v>0</v>
      </c>
      <c r="Y2140" s="75">
        <f t="shared" si="117"/>
        <v>0</v>
      </c>
      <c r="Z2140" s="76" t="e">
        <f t="shared" si="118"/>
        <v>#DIV/0!</v>
      </c>
    </row>
    <row r="2141" spans="5:26">
      <c r="G2141" s="9"/>
      <c r="H2141" s="2"/>
      <c r="I2141" s="2"/>
      <c r="J2141" s="2"/>
      <c r="K2141" s="2"/>
      <c r="L2141" s="145"/>
      <c r="M2141" s="169" t="s">
        <v>389</v>
      </c>
      <c r="N2141" s="170" t="s">
        <v>48</v>
      </c>
      <c r="O2141" s="170" t="s">
        <v>48</v>
      </c>
      <c r="P2141" s="145"/>
      <c r="Q2141" s="73">
        <f t="shared" si="114"/>
        <v>7673</v>
      </c>
      <c r="R2141" s="73">
        <f t="shared" si="114"/>
        <v>7673</v>
      </c>
      <c r="S2141" s="73">
        <f t="shared" si="114"/>
        <v>44272</v>
      </c>
      <c r="T2141" s="224">
        <f t="shared" si="114"/>
        <v>44272</v>
      </c>
      <c r="U2141" s="73">
        <f t="shared" si="114"/>
        <v>1967.4170000000001</v>
      </c>
      <c r="V2141" s="74"/>
      <c r="W2141" s="224">
        <f t="shared" si="115"/>
        <v>5185</v>
      </c>
      <c r="X2141" s="75">
        <f t="shared" si="116"/>
        <v>44272</v>
      </c>
      <c r="Y2141" s="75">
        <f t="shared" si="117"/>
        <v>1967.4170000000001</v>
      </c>
      <c r="Z2141" s="76">
        <f t="shared" si="118"/>
        <v>22.502601126248273</v>
      </c>
    </row>
    <row r="2142" spans="5:26">
      <c r="G2142" s="9"/>
      <c r="H2142" s="2"/>
      <c r="I2142" s="2"/>
      <c r="J2142" s="2"/>
      <c r="K2142" s="2"/>
      <c r="L2142" s="145"/>
      <c r="M2142" s="169" t="s">
        <v>388</v>
      </c>
      <c r="N2142" s="170" t="s">
        <v>41</v>
      </c>
      <c r="O2142" s="170" t="s">
        <v>41</v>
      </c>
      <c r="P2142" s="145"/>
      <c r="Q2142" s="73">
        <f t="shared" si="114"/>
        <v>9360899</v>
      </c>
      <c r="R2142" s="73">
        <f t="shared" si="114"/>
        <v>9360899</v>
      </c>
      <c r="S2142" s="73">
        <f t="shared" si="114"/>
        <v>9755304</v>
      </c>
      <c r="T2142" s="224">
        <f t="shared" si="114"/>
        <v>9755304</v>
      </c>
      <c r="U2142" s="73">
        <f t="shared" si="114"/>
        <v>1295128.2549999999</v>
      </c>
      <c r="V2142" s="74"/>
      <c r="W2142" s="224">
        <f t="shared" si="115"/>
        <v>9726622</v>
      </c>
      <c r="X2142" s="75">
        <f t="shared" si="116"/>
        <v>9755304</v>
      </c>
      <c r="Y2142" s="75">
        <f t="shared" si="117"/>
        <v>1295128.2549999999</v>
      </c>
      <c r="Z2142" s="76">
        <f t="shared" si="118"/>
        <v>7.532307292608639</v>
      </c>
    </row>
    <row r="2143" spans="5:26">
      <c r="E2143" s="50">
        <f>T2143/(T2143+T2154)</f>
        <v>0.54999706275093707</v>
      </c>
      <c r="G2143" s="9"/>
      <c r="H2143" s="2"/>
      <c r="I2143" s="2"/>
      <c r="J2143" s="2"/>
      <c r="K2143" s="2"/>
      <c r="L2143" s="145"/>
      <c r="M2143" s="169" t="s">
        <v>402</v>
      </c>
      <c r="N2143" s="170" t="s">
        <v>19</v>
      </c>
      <c r="O2143" s="170" t="s">
        <v>84</v>
      </c>
      <c r="P2143" s="145"/>
      <c r="Q2143" s="73">
        <f t="shared" si="114"/>
        <v>69045</v>
      </c>
      <c r="R2143" s="73">
        <f t="shared" si="114"/>
        <v>69045</v>
      </c>
      <c r="S2143" s="73">
        <f t="shared" si="114"/>
        <v>973695</v>
      </c>
      <c r="T2143" s="73">
        <f t="shared" si="114"/>
        <v>973695</v>
      </c>
      <c r="U2143" s="73">
        <f t="shared" si="114"/>
        <v>43333.298999999999</v>
      </c>
      <c r="V2143" s="74"/>
      <c r="W2143" s="224">
        <f t="shared" si="115"/>
        <v>0</v>
      </c>
      <c r="X2143" s="75">
        <f t="shared" si="116"/>
        <v>973695</v>
      </c>
      <c r="Y2143" s="75">
        <f t="shared" si="117"/>
        <v>43333.298999999999</v>
      </c>
      <c r="Z2143" s="76">
        <f t="shared" si="118"/>
        <v>22.469902418461146</v>
      </c>
    </row>
    <row r="2144" spans="5:26">
      <c r="E2144" s="50">
        <f>T2154/(T2143+T2154)</f>
        <v>0.45000293724906293</v>
      </c>
      <c r="G2144" s="9"/>
      <c r="H2144" s="2"/>
      <c r="I2144" s="2"/>
      <c r="J2144" s="2"/>
      <c r="K2144" s="2"/>
      <c r="L2144" s="145"/>
      <c r="M2144" s="169" t="s">
        <v>403</v>
      </c>
      <c r="N2144" s="170" t="s">
        <v>84</v>
      </c>
      <c r="O2144" s="170" t="s">
        <v>84</v>
      </c>
      <c r="P2144" s="145"/>
      <c r="Q2144" s="73">
        <f t="shared" si="114"/>
        <v>0</v>
      </c>
      <c r="R2144" s="73">
        <f t="shared" si="114"/>
        <v>0</v>
      </c>
      <c r="S2144" s="73">
        <f t="shared" si="114"/>
        <v>0</v>
      </c>
      <c r="T2144" s="73">
        <f t="shared" si="114"/>
        <v>0</v>
      </c>
      <c r="U2144" s="73">
        <f t="shared" si="114"/>
        <v>0</v>
      </c>
      <c r="V2144" s="74"/>
      <c r="W2144" s="224">
        <f t="shared" si="115"/>
        <v>0</v>
      </c>
      <c r="X2144" s="75">
        <f t="shared" si="116"/>
        <v>0</v>
      </c>
      <c r="Y2144" s="75">
        <f t="shared" si="117"/>
        <v>0</v>
      </c>
      <c r="Z2144" s="76" t="e">
        <f t="shared" si="118"/>
        <v>#DIV/0!</v>
      </c>
    </row>
    <row r="2145" spans="7:26">
      <c r="G2145" s="9"/>
      <c r="H2145" s="2"/>
      <c r="I2145" s="2"/>
      <c r="J2145" s="2"/>
      <c r="K2145" s="2"/>
      <c r="L2145" s="145"/>
      <c r="M2145" s="169" t="s">
        <v>398</v>
      </c>
      <c r="N2145" s="209" t="s">
        <v>410</v>
      </c>
      <c r="O2145" s="209" t="s">
        <v>84</v>
      </c>
      <c r="P2145" s="145"/>
      <c r="Q2145" s="73">
        <f t="shared" si="114"/>
        <v>113203</v>
      </c>
      <c r="R2145" s="73">
        <f t="shared" si="114"/>
        <v>21732</v>
      </c>
      <c r="S2145" s="73">
        <f t="shared" si="114"/>
        <v>3388853</v>
      </c>
      <c r="T2145" s="73">
        <f t="shared" si="114"/>
        <v>650586</v>
      </c>
      <c r="U2145" s="73">
        <f t="shared" si="114"/>
        <v>121240.75</v>
      </c>
      <c r="V2145" s="74"/>
      <c r="W2145" s="224">
        <f t="shared" si="115"/>
        <v>0</v>
      </c>
      <c r="X2145" s="75">
        <f t="shared" si="116"/>
        <v>650586</v>
      </c>
      <c r="Y2145" s="75">
        <f t="shared" si="117"/>
        <v>121240.75</v>
      </c>
      <c r="Z2145" s="76">
        <f t="shared" si="118"/>
        <v>5.3660671020263404</v>
      </c>
    </row>
    <row r="2146" spans="7:26">
      <c r="G2146" s="9"/>
      <c r="H2146" s="2"/>
      <c r="I2146" s="2"/>
      <c r="J2146" s="2"/>
      <c r="K2146" s="2"/>
      <c r="L2146" s="145"/>
      <c r="M2146" s="169" t="s">
        <v>391</v>
      </c>
      <c r="N2146" s="170" t="s">
        <v>67</v>
      </c>
      <c r="O2146" s="170" t="s">
        <v>67</v>
      </c>
      <c r="P2146" s="145"/>
      <c r="Q2146" s="73">
        <f t="shared" si="114"/>
        <v>0</v>
      </c>
      <c r="R2146" s="73">
        <f t="shared" si="114"/>
        <v>0</v>
      </c>
      <c r="S2146" s="73">
        <f t="shared" si="114"/>
        <v>0</v>
      </c>
      <c r="T2146" s="73">
        <f t="shared" si="114"/>
        <v>0</v>
      </c>
      <c r="U2146" s="73">
        <f t="shared" si="114"/>
        <v>0</v>
      </c>
      <c r="V2146" s="74"/>
      <c r="W2146" s="224">
        <f t="shared" si="115"/>
        <v>0</v>
      </c>
      <c r="X2146" s="75">
        <f t="shared" si="116"/>
        <v>0</v>
      </c>
      <c r="Y2146" s="75">
        <f t="shared" si="117"/>
        <v>0</v>
      </c>
      <c r="Z2146" s="76" t="e">
        <f t="shared" si="118"/>
        <v>#DIV/0!</v>
      </c>
    </row>
    <row r="2147" spans="7:26">
      <c r="G2147" s="9"/>
      <c r="H2147" s="2"/>
      <c r="I2147" s="2"/>
      <c r="J2147" s="2"/>
      <c r="K2147" s="2"/>
      <c r="L2147" s="145"/>
      <c r="M2147" s="169" t="s">
        <v>390</v>
      </c>
      <c r="N2147" s="170" t="s">
        <v>63</v>
      </c>
      <c r="O2147" s="170" t="s">
        <v>63</v>
      </c>
      <c r="P2147" s="145"/>
      <c r="Q2147" s="73">
        <f t="shared" si="114"/>
        <v>64833</v>
      </c>
      <c r="R2147" s="73">
        <f t="shared" si="114"/>
        <v>27719</v>
      </c>
      <c r="S2147" s="73">
        <f t="shared" si="114"/>
        <v>405191</v>
      </c>
      <c r="T2147" s="224">
        <f t="shared" si="114"/>
        <v>173239</v>
      </c>
      <c r="U2147" s="73">
        <f t="shared" si="114"/>
        <v>18043.067999999999</v>
      </c>
      <c r="V2147" s="74"/>
      <c r="W2147" s="224">
        <f t="shared" si="115"/>
        <v>119910</v>
      </c>
      <c r="X2147" s="75">
        <f t="shared" si="116"/>
        <v>173239</v>
      </c>
      <c r="Y2147" s="75">
        <f t="shared" si="117"/>
        <v>18043.067999999999</v>
      </c>
      <c r="Z2147" s="76">
        <f t="shared" si="118"/>
        <v>9.601415901109501</v>
      </c>
    </row>
    <row r="2148" spans="7:26">
      <c r="G2148" s="9"/>
      <c r="H2148" s="2"/>
      <c r="I2148" s="2"/>
      <c r="J2148" s="2"/>
      <c r="K2148" s="2"/>
      <c r="L2148" s="145"/>
      <c r="M2148" s="169" t="s">
        <v>392</v>
      </c>
      <c r="N2148" s="209" t="s">
        <v>68</v>
      </c>
      <c r="O2148" s="170" t="s">
        <v>69</v>
      </c>
      <c r="P2148" s="145"/>
      <c r="Q2148" s="73">
        <f t="shared" si="114"/>
        <v>0</v>
      </c>
      <c r="R2148" s="73">
        <f t="shared" si="114"/>
        <v>0</v>
      </c>
      <c r="S2148" s="73">
        <f t="shared" si="114"/>
        <v>0</v>
      </c>
      <c r="T2148" s="73">
        <f t="shared" si="114"/>
        <v>0</v>
      </c>
      <c r="U2148" s="73">
        <f t="shared" si="114"/>
        <v>0</v>
      </c>
      <c r="V2148" s="74"/>
      <c r="W2148" s="224">
        <f t="shared" si="115"/>
        <v>0</v>
      </c>
      <c r="X2148" s="75">
        <f t="shared" si="116"/>
        <v>0</v>
      </c>
      <c r="Y2148" s="75">
        <f t="shared" si="117"/>
        <v>0</v>
      </c>
      <c r="Z2148" s="76" t="e">
        <f t="shared" si="118"/>
        <v>#DIV/0!</v>
      </c>
    </row>
    <row r="2149" spans="7:26">
      <c r="G2149" s="9"/>
      <c r="H2149" s="2"/>
      <c r="I2149" s="2"/>
      <c r="J2149" s="2"/>
      <c r="K2149" s="2"/>
      <c r="L2149" s="145"/>
      <c r="M2149" s="169" t="s">
        <v>393</v>
      </c>
      <c r="N2149" s="209" t="s">
        <v>78</v>
      </c>
      <c r="O2149" s="209" t="s">
        <v>69</v>
      </c>
      <c r="P2149" s="145"/>
      <c r="Q2149" s="73">
        <f t="shared" si="114"/>
        <v>0</v>
      </c>
      <c r="R2149" s="73">
        <f t="shared" si="114"/>
        <v>0</v>
      </c>
      <c r="S2149" s="73">
        <f t="shared" si="114"/>
        <v>0</v>
      </c>
      <c r="T2149" s="73">
        <f t="shared" si="114"/>
        <v>0</v>
      </c>
      <c r="U2149" s="73">
        <f t="shared" si="114"/>
        <v>0</v>
      </c>
      <c r="V2149" s="74"/>
      <c r="W2149" s="224">
        <f t="shared" si="115"/>
        <v>0</v>
      </c>
      <c r="X2149" s="75">
        <f t="shared" si="116"/>
        <v>0</v>
      </c>
      <c r="Y2149" s="75">
        <f t="shared" si="117"/>
        <v>0</v>
      </c>
      <c r="Z2149" s="76" t="e">
        <f t="shared" si="118"/>
        <v>#DIV/0!</v>
      </c>
    </row>
    <row r="2150" spans="7:26">
      <c r="G2150" s="9"/>
      <c r="H2150" s="2"/>
      <c r="I2150" s="2"/>
      <c r="J2150" s="2"/>
      <c r="K2150" s="2"/>
      <c r="L2150" s="145"/>
      <c r="M2150" s="169" t="s">
        <v>394</v>
      </c>
      <c r="N2150" s="209" t="s">
        <v>75</v>
      </c>
      <c r="O2150" s="209" t="s">
        <v>69</v>
      </c>
      <c r="P2150" s="145"/>
      <c r="Q2150" s="73">
        <f t="shared" si="114"/>
        <v>0</v>
      </c>
      <c r="R2150" s="73">
        <f t="shared" si="114"/>
        <v>0</v>
      </c>
      <c r="S2150" s="73">
        <f t="shared" si="114"/>
        <v>0</v>
      </c>
      <c r="T2150" s="73">
        <f t="shared" si="114"/>
        <v>0</v>
      </c>
      <c r="U2150" s="73">
        <f t="shared" si="114"/>
        <v>0</v>
      </c>
      <c r="V2150" s="74"/>
      <c r="W2150" s="224">
        <f t="shared" si="115"/>
        <v>0</v>
      </c>
      <c r="X2150" s="75">
        <f t="shared" si="116"/>
        <v>0</v>
      </c>
      <c r="Y2150" s="75">
        <f t="shared" si="117"/>
        <v>0</v>
      </c>
      <c r="Z2150" s="76" t="e">
        <f t="shared" si="118"/>
        <v>#DIV/0!</v>
      </c>
    </row>
    <row r="2151" spans="7:26">
      <c r="G2151" s="9"/>
      <c r="H2151" s="2"/>
      <c r="I2151" s="2"/>
      <c r="J2151" s="2"/>
      <c r="K2151" s="2"/>
      <c r="L2151" s="33"/>
      <c r="M2151" s="210" t="s">
        <v>448</v>
      </c>
      <c r="N2151" s="209" t="s">
        <v>439</v>
      </c>
      <c r="O2151" s="209" t="s">
        <v>440</v>
      </c>
      <c r="P2151" s="33"/>
      <c r="Q2151" s="73">
        <f t="shared" si="114"/>
        <v>478</v>
      </c>
      <c r="R2151" s="73">
        <f t="shared" si="114"/>
        <v>478</v>
      </c>
      <c r="S2151" s="73">
        <f t="shared" si="114"/>
        <v>1198</v>
      </c>
      <c r="T2151" s="73">
        <f t="shared" si="114"/>
        <v>1198</v>
      </c>
      <c r="U2151" s="73">
        <f t="shared" si="114"/>
        <v>66.295999999999992</v>
      </c>
      <c r="V2151" s="74"/>
      <c r="W2151" s="224">
        <f t="shared" si="115"/>
        <v>0</v>
      </c>
      <c r="X2151" s="75">
        <f t="shared" si="116"/>
        <v>1198</v>
      </c>
      <c r="Y2151" s="75">
        <f t="shared" si="117"/>
        <v>66.295999999999992</v>
      </c>
      <c r="Z2151" s="76">
        <f t="shared" si="118"/>
        <v>18.070471823337758</v>
      </c>
    </row>
    <row r="2152" spans="7:26">
      <c r="G2152" s="9"/>
      <c r="H2152" s="2"/>
      <c r="I2152" s="2"/>
      <c r="J2152" s="2"/>
      <c r="K2152" s="2"/>
      <c r="L2152" s="145"/>
      <c r="M2152" s="145"/>
      <c r="N2152" s="145"/>
      <c r="O2152" s="145"/>
      <c r="P2152" s="145"/>
      <c r="Q2152" s="2"/>
      <c r="R2152" s="2"/>
      <c r="S2152" s="2"/>
      <c r="T2152" s="2"/>
      <c r="U2152" s="2"/>
      <c r="V2152" s="2"/>
      <c r="W2152" s="2"/>
      <c r="X2152" s="2"/>
      <c r="Y2152" s="2"/>
      <c r="Z2152" s="80"/>
    </row>
    <row r="2153" spans="7:26">
      <c r="G2153" s="9"/>
      <c r="H2153" s="2" t="s">
        <v>405</v>
      </c>
      <c r="I2153" s="2"/>
      <c r="J2153" s="2"/>
      <c r="K2153" s="2"/>
      <c r="L2153" s="145"/>
      <c r="M2153" s="169" t="s">
        <v>396</v>
      </c>
      <c r="N2153" s="170" t="s">
        <v>65</v>
      </c>
      <c r="O2153" s="170" t="s">
        <v>66</v>
      </c>
      <c r="P2153" s="145"/>
      <c r="Q2153" s="73">
        <f t="shared" ref="Q2153:U2160" si="119">SUMIFS(Q$7:Q$2081,$K$7:$K$2081, "&lt;4",$G$7:$G$2081,$G$2139,$N$7:$N$2081,$N2153)</f>
        <v>682429</v>
      </c>
      <c r="R2153" s="73">
        <f t="shared" si="119"/>
        <v>682429</v>
      </c>
      <c r="S2153" s="73">
        <f t="shared" si="119"/>
        <v>331491</v>
      </c>
      <c r="T2153" s="73">
        <f t="shared" si="119"/>
        <v>331491</v>
      </c>
      <c r="U2153" s="73">
        <f t="shared" si="119"/>
        <v>30029</v>
      </c>
      <c r="V2153" s="74"/>
      <c r="W2153" s="224">
        <f t="shared" ref="W2153:W2160" si="120">SUMIFS(T$7:T$2081,$K$7:$K$2081, "&lt;4",$G$7:$G$2081,$G$2139,$N$7:$N$2081,$N2153, $W$7:$W$2081, "=x")</f>
        <v>0</v>
      </c>
      <c r="X2153" s="75">
        <f t="shared" ref="X2153:X2160" si="121">SUMIFS(T$7:T$2081,U$7:U$2081, "&gt;0",$K$7:$K$2081, "&lt;4",$G$7:$G$2081,$G$2139,$N$7:$N$2081,$N2153)</f>
        <v>331491</v>
      </c>
      <c r="Y2153" s="75">
        <f t="shared" ref="Y2153:Y2160" si="122">SUMIFS(U$7:U$2081,U$7:U$2081, "&gt;0",$K$7:$K$2081, "&lt;4",$G$7:$G$2081,$G$2139,$N$7:$N$2081,$N2153)</f>
        <v>30029</v>
      </c>
      <c r="Z2153" s="76">
        <f t="shared" ref="Z2153:Z2160" si="123">X2153/Y2153</f>
        <v>11.039028938692597</v>
      </c>
    </row>
    <row r="2154" spans="7:26">
      <c r="G2154" s="9"/>
      <c r="H2154" s="2"/>
      <c r="I2154" s="2"/>
      <c r="J2154" s="2"/>
      <c r="K2154" s="2"/>
      <c r="L2154" s="145"/>
      <c r="M2154" s="169" t="s">
        <v>399</v>
      </c>
      <c r="N2154" s="170" t="s">
        <v>18</v>
      </c>
      <c r="O2154" s="170" t="s">
        <v>66</v>
      </c>
      <c r="P2154" s="145"/>
      <c r="Q2154" s="73">
        <f t="shared" si="119"/>
        <v>107989</v>
      </c>
      <c r="R2154" s="73">
        <f t="shared" si="119"/>
        <v>107989</v>
      </c>
      <c r="S2154" s="73">
        <f t="shared" si="119"/>
        <v>796669</v>
      </c>
      <c r="T2154" s="73">
        <f t="shared" si="119"/>
        <v>796669</v>
      </c>
      <c r="U2154" s="73">
        <f t="shared" si="119"/>
        <v>35455.093000000001</v>
      </c>
      <c r="V2154" s="74"/>
      <c r="W2154" s="224">
        <f t="shared" si="120"/>
        <v>0</v>
      </c>
      <c r="X2154" s="75">
        <f t="shared" si="121"/>
        <v>796669</v>
      </c>
      <c r="Y2154" s="75">
        <f t="shared" si="122"/>
        <v>35455.093000000001</v>
      </c>
      <c r="Z2154" s="76">
        <f t="shared" si="123"/>
        <v>22.469804267612552</v>
      </c>
    </row>
    <row r="2155" spans="7:26">
      <c r="G2155" s="9"/>
      <c r="H2155" s="2"/>
      <c r="I2155" s="2"/>
      <c r="J2155" s="2"/>
      <c r="K2155" s="2"/>
      <c r="L2155" s="145"/>
      <c r="M2155" s="169" t="s">
        <v>395</v>
      </c>
      <c r="N2155" s="209" t="s">
        <v>159</v>
      </c>
      <c r="O2155" s="209" t="s">
        <v>72</v>
      </c>
      <c r="P2155" s="145"/>
      <c r="Q2155" s="73">
        <f t="shared" si="119"/>
        <v>696051</v>
      </c>
      <c r="R2155" s="73">
        <f t="shared" si="119"/>
        <v>133517</v>
      </c>
      <c r="S2155" s="73">
        <f t="shared" si="119"/>
        <v>8004589</v>
      </c>
      <c r="T2155" s="73">
        <f t="shared" si="119"/>
        <v>1535438</v>
      </c>
      <c r="U2155" s="73">
        <f t="shared" si="119"/>
        <v>285880.68</v>
      </c>
      <c r="V2155" s="74"/>
      <c r="W2155" s="224">
        <f t="shared" si="120"/>
        <v>0</v>
      </c>
      <c r="X2155" s="75">
        <f t="shared" si="121"/>
        <v>1535438</v>
      </c>
      <c r="Y2155" s="75">
        <f t="shared" si="122"/>
        <v>285880.68</v>
      </c>
      <c r="Z2155" s="76">
        <f t="shared" si="123"/>
        <v>5.3709050922923511</v>
      </c>
    </row>
    <row r="2156" spans="7:26">
      <c r="G2156" s="9"/>
      <c r="H2156" s="2"/>
      <c r="I2156" s="2"/>
      <c r="J2156" s="2"/>
      <c r="K2156" s="2"/>
      <c r="L2156" s="145"/>
      <c r="M2156" s="169" t="s">
        <v>404</v>
      </c>
      <c r="N2156" s="209" t="s">
        <v>71</v>
      </c>
      <c r="O2156" s="209" t="s">
        <v>72</v>
      </c>
      <c r="P2156" s="145"/>
      <c r="Q2156" s="73">
        <f t="shared" si="119"/>
        <v>1306256</v>
      </c>
      <c r="R2156" s="73">
        <f t="shared" si="119"/>
        <v>1095226</v>
      </c>
      <c r="S2156" s="73">
        <f t="shared" si="119"/>
        <v>11119186</v>
      </c>
      <c r="T2156" s="73">
        <f t="shared" si="119"/>
        <v>9325431</v>
      </c>
      <c r="U2156" s="73">
        <f t="shared" si="119"/>
        <v>679547.06599999988</v>
      </c>
      <c r="V2156" s="74"/>
      <c r="W2156" s="224">
        <f t="shared" si="120"/>
        <v>0</v>
      </c>
      <c r="X2156" s="75">
        <f t="shared" si="121"/>
        <v>9325431</v>
      </c>
      <c r="Y2156" s="75">
        <f t="shared" si="122"/>
        <v>679547.06599999988</v>
      </c>
      <c r="Z2156" s="76">
        <f t="shared" si="123"/>
        <v>13.723009731896925</v>
      </c>
    </row>
    <row r="2157" spans="7:26">
      <c r="G2157" s="9"/>
      <c r="H2157" s="2"/>
      <c r="I2157" s="2"/>
      <c r="J2157" s="2"/>
      <c r="K2157" s="2"/>
      <c r="L2157" s="145"/>
      <c r="M2157" s="169" t="s">
        <v>397</v>
      </c>
      <c r="N2157" s="170" t="s">
        <v>160</v>
      </c>
      <c r="O2157" s="170" t="s">
        <v>51</v>
      </c>
      <c r="P2157" s="145"/>
      <c r="Q2157" s="73">
        <f t="shared" si="119"/>
        <v>26719</v>
      </c>
      <c r="R2157" s="73">
        <f t="shared" si="119"/>
        <v>5132</v>
      </c>
      <c r="S2157" s="73">
        <f t="shared" si="119"/>
        <v>112763</v>
      </c>
      <c r="T2157" s="73">
        <f t="shared" si="119"/>
        <v>21674</v>
      </c>
      <c r="U2157" s="73">
        <f t="shared" si="119"/>
        <v>4035.8850000000002</v>
      </c>
      <c r="V2157" s="74"/>
      <c r="W2157" s="224">
        <f t="shared" si="120"/>
        <v>0</v>
      </c>
      <c r="X2157" s="75">
        <f t="shared" si="121"/>
        <v>21674</v>
      </c>
      <c r="Y2157" s="75">
        <f t="shared" si="122"/>
        <v>4035.8850000000002</v>
      </c>
      <c r="Z2157" s="76">
        <f t="shared" si="123"/>
        <v>5.3703215032142886</v>
      </c>
    </row>
    <row r="2158" spans="7:26">
      <c r="G2158" s="9"/>
      <c r="H2158" s="2"/>
      <c r="I2158" s="2"/>
      <c r="J2158" s="2"/>
      <c r="K2158" s="2"/>
      <c r="L2158" s="33"/>
      <c r="M2158" s="210" t="s">
        <v>450</v>
      </c>
      <c r="N2158" s="209" t="s">
        <v>431</v>
      </c>
      <c r="O2158" s="209" t="s">
        <v>51</v>
      </c>
      <c r="P2158" s="145"/>
      <c r="Q2158" s="73">
        <f t="shared" si="119"/>
        <v>0</v>
      </c>
      <c r="R2158" s="73">
        <f t="shared" si="119"/>
        <v>0</v>
      </c>
      <c r="S2158" s="73">
        <f t="shared" si="119"/>
        <v>0</v>
      </c>
      <c r="T2158" s="73">
        <f t="shared" si="119"/>
        <v>0</v>
      </c>
      <c r="U2158" s="73">
        <f t="shared" si="119"/>
        <v>0</v>
      </c>
      <c r="V2158" s="74"/>
      <c r="W2158" s="224">
        <f t="shared" si="120"/>
        <v>0</v>
      </c>
      <c r="X2158" s="75">
        <f t="shared" si="121"/>
        <v>0</v>
      </c>
      <c r="Y2158" s="75">
        <f t="shared" si="122"/>
        <v>0</v>
      </c>
      <c r="Z2158" s="76" t="e">
        <f t="shared" si="123"/>
        <v>#DIV/0!</v>
      </c>
    </row>
    <row r="2159" spans="7:26">
      <c r="G2159" s="9"/>
      <c r="H2159" s="2"/>
      <c r="I2159" s="2"/>
      <c r="J2159" s="2"/>
      <c r="K2159" s="2"/>
      <c r="L2159" s="33"/>
      <c r="M2159" s="210" t="s">
        <v>2657</v>
      </c>
      <c r="N2159" s="209" t="s">
        <v>436</v>
      </c>
      <c r="O2159" s="209" t="s">
        <v>51</v>
      </c>
      <c r="P2159" s="145"/>
      <c r="Q2159" s="73">
        <f t="shared" si="119"/>
        <v>0</v>
      </c>
      <c r="R2159" s="73">
        <f t="shared" si="119"/>
        <v>0</v>
      </c>
      <c r="S2159" s="73">
        <f t="shared" si="119"/>
        <v>0</v>
      </c>
      <c r="T2159" s="73">
        <f t="shared" si="119"/>
        <v>0</v>
      </c>
      <c r="U2159" s="73">
        <f t="shared" si="119"/>
        <v>0</v>
      </c>
      <c r="V2159" s="74"/>
      <c r="W2159" s="224">
        <f t="shared" si="120"/>
        <v>0</v>
      </c>
      <c r="X2159" s="75">
        <f t="shared" si="121"/>
        <v>0</v>
      </c>
      <c r="Y2159" s="75">
        <f t="shared" si="122"/>
        <v>0</v>
      </c>
      <c r="Z2159" s="76" t="e">
        <f t="shared" si="123"/>
        <v>#DIV/0!</v>
      </c>
    </row>
    <row r="2160" spans="7:26">
      <c r="G2160" s="9"/>
      <c r="H2160" s="2"/>
      <c r="I2160" s="2"/>
      <c r="J2160" s="2"/>
      <c r="K2160" s="2"/>
      <c r="L2160" s="33"/>
      <c r="M2160" s="210" t="s">
        <v>449</v>
      </c>
      <c r="N2160" s="209" t="s">
        <v>70</v>
      </c>
      <c r="O2160" s="209" t="s">
        <v>51</v>
      </c>
      <c r="P2160" s="145"/>
      <c r="Q2160" s="73">
        <f t="shared" si="119"/>
        <v>0</v>
      </c>
      <c r="R2160" s="73">
        <f t="shared" si="119"/>
        <v>0</v>
      </c>
      <c r="S2160" s="73">
        <f t="shared" si="119"/>
        <v>0</v>
      </c>
      <c r="T2160" s="73">
        <f t="shared" si="119"/>
        <v>0</v>
      </c>
      <c r="U2160" s="73">
        <f t="shared" si="119"/>
        <v>0</v>
      </c>
      <c r="V2160" s="74"/>
      <c r="W2160" s="224">
        <f t="shared" si="120"/>
        <v>0</v>
      </c>
      <c r="X2160" s="75">
        <f t="shared" si="121"/>
        <v>0</v>
      </c>
      <c r="Y2160" s="75">
        <f t="shared" si="122"/>
        <v>0</v>
      </c>
      <c r="Z2160" s="76" t="e">
        <f t="shared" si="123"/>
        <v>#DIV/0!</v>
      </c>
    </row>
    <row r="2161" spans="7:26" ht="13">
      <c r="G2161" s="10"/>
      <c r="H2161" s="11"/>
      <c r="I2161" s="11"/>
      <c r="J2161" s="11"/>
      <c r="K2161" s="11"/>
      <c r="L2161" s="211"/>
      <c r="M2161" s="211"/>
      <c r="N2161" s="211"/>
      <c r="O2161" s="212"/>
      <c r="P2161" s="211"/>
      <c r="Q2161" s="38">
        <f>SUM(Q2139:Q2160)</f>
        <v>12504937</v>
      </c>
      <c r="R2161" s="38">
        <f>SUM(R2139:R2160)</f>
        <v>11525036</v>
      </c>
      <c r="S2161" s="38">
        <f>SUM(S2139:S2160)</f>
        <v>36644053</v>
      </c>
      <c r="T2161" s="38">
        <f>SUM(T2139:T2160)</f>
        <v>23934518</v>
      </c>
      <c r="U2161" s="38">
        <f>SUM(U2139:U2160)</f>
        <v>2575252.0019999994</v>
      </c>
      <c r="V2161" s="77"/>
      <c r="W2161" s="77"/>
      <c r="X2161" s="78"/>
      <c r="Y2161" s="78"/>
      <c r="Z2161" s="79"/>
    </row>
    <row r="2163" spans="7:26">
      <c r="Q2163" s="14"/>
      <c r="R2163" s="14"/>
      <c r="S2163" s="14"/>
      <c r="T2163" s="14"/>
      <c r="U2163" s="14"/>
      <c r="X2163" s="14"/>
      <c r="Y2163" s="14"/>
      <c r="Z2163" s="1"/>
    </row>
    <row r="2164" spans="7:26">
      <c r="G2164" s="5" t="s">
        <v>98</v>
      </c>
      <c r="H2164" s="6" t="s">
        <v>406</v>
      </c>
      <c r="I2164" s="6"/>
      <c r="J2164" s="6"/>
      <c r="K2164" s="6"/>
      <c r="L2164" s="6"/>
      <c r="M2164" s="7" t="s">
        <v>400</v>
      </c>
      <c r="N2164" s="8" t="s">
        <v>45</v>
      </c>
      <c r="O2164" s="8" t="s">
        <v>46</v>
      </c>
      <c r="P2164" s="6"/>
      <c r="Q2164" s="69">
        <f t="shared" ref="Q2164:U2176" si="124">SUMIFS(Q$7:Q$2081,$K$7:$K$2081, "&lt;4",$G$7:$G$2081,$G$2164,$N$7:$N$2081,$N2164)</f>
        <v>159462</v>
      </c>
      <c r="R2164" s="69">
        <f t="shared" si="124"/>
        <v>159462</v>
      </c>
      <c r="S2164" s="69">
        <f t="shared" si="124"/>
        <v>4181927</v>
      </c>
      <c r="T2164" s="223">
        <f t="shared" si="124"/>
        <v>4181927</v>
      </c>
      <c r="U2164" s="69">
        <f t="shared" si="124"/>
        <v>343015.43400000001</v>
      </c>
      <c r="V2164" s="70"/>
      <c r="W2164" s="223">
        <f t="shared" ref="W2164:W2176" si="125">SUMIFS(T$7:T$2081,$K$7:$K$2081, "&lt;4",$G$7:$G$2081,$G$2164,$N$7:$N$2081,$N2164, $W$7:$W$2081, "=x")</f>
        <v>3419873</v>
      </c>
      <c r="X2164" s="71">
        <f t="shared" ref="X2164:X2175" si="126">SUMIFS(T$7:T$2081,U$7:U$2081, "&gt;0",$K$7:$K$2081, "&lt;4",$G$7:$G$2081,$G$2164,$N$7:$N$2081,$N2164)</f>
        <v>4181927</v>
      </c>
      <c r="Y2164" s="71">
        <f t="shared" ref="Y2164:Y2175" si="127">SUMIFS(U$7:U$2081,U$7:U$2081, "&gt;0",$K$7:$K$2081, "&lt;4",$G$7:$G$2081,$G$2164,$N$7:$N$2081,$N2164)</f>
        <v>343015.43400000001</v>
      </c>
      <c r="Z2164" s="72">
        <f t="shared" ref="Z2164:Z2176" si="128">X2164/Y2164</f>
        <v>12.191658408000382</v>
      </c>
    </row>
    <row r="2165" spans="7:26">
      <c r="G2165" s="9"/>
      <c r="H2165" s="2"/>
      <c r="I2165" s="2"/>
      <c r="J2165" s="2"/>
      <c r="K2165" s="2"/>
      <c r="L2165" s="145"/>
      <c r="M2165" s="169" t="s">
        <v>401</v>
      </c>
      <c r="N2165" s="170" t="s">
        <v>50</v>
      </c>
      <c r="O2165" s="170" t="s">
        <v>46</v>
      </c>
      <c r="P2165" s="145"/>
      <c r="Q2165" s="73">
        <f t="shared" si="124"/>
        <v>0</v>
      </c>
      <c r="R2165" s="73">
        <f t="shared" si="124"/>
        <v>0</v>
      </c>
      <c r="S2165" s="73">
        <f t="shared" si="124"/>
        <v>0</v>
      </c>
      <c r="T2165" s="73">
        <f t="shared" si="124"/>
        <v>0</v>
      </c>
      <c r="U2165" s="73">
        <f t="shared" si="124"/>
        <v>0</v>
      </c>
      <c r="V2165" s="74"/>
      <c r="W2165" s="224">
        <f t="shared" si="125"/>
        <v>0</v>
      </c>
      <c r="X2165" s="75">
        <f t="shared" si="126"/>
        <v>0</v>
      </c>
      <c r="Y2165" s="75">
        <f t="shared" si="127"/>
        <v>0</v>
      </c>
      <c r="Z2165" s="76" t="e">
        <f t="shared" si="128"/>
        <v>#DIV/0!</v>
      </c>
    </row>
    <row r="2166" spans="7:26">
      <c r="G2166" s="9"/>
      <c r="H2166" s="2"/>
      <c r="I2166" s="2"/>
      <c r="J2166" s="2"/>
      <c r="K2166" s="2"/>
      <c r="L2166" s="145"/>
      <c r="M2166" s="169" t="s">
        <v>389</v>
      </c>
      <c r="N2166" s="170" t="s">
        <v>48</v>
      </c>
      <c r="O2166" s="170" t="s">
        <v>48</v>
      </c>
      <c r="P2166" s="145"/>
      <c r="Q2166" s="73">
        <f t="shared" si="124"/>
        <v>12408</v>
      </c>
      <c r="R2166" s="73">
        <f t="shared" si="124"/>
        <v>12408</v>
      </c>
      <c r="S2166" s="73">
        <f t="shared" si="124"/>
        <v>71671</v>
      </c>
      <c r="T2166" s="224">
        <f t="shared" si="124"/>
        <v>71671</v>
      </c>
      <c r="U2166" s="73">
        <f t="shared" si="124"/>
        <v>8181.5779999999995</v>
      </c>
      <c r="V2166" s="74"/>
      <c r="W2166" s="224">
        <f t="shared" si="125"/>
        <v>62294</v>
      </c>
      <c r="X2166" s="75">
        <f t="shared" si="126"/>
        <v>71671</v>
      </c>
      <c r="Y2166" s="75">
        <f t="shared" si="127"/>
        <v>8181.5779999999995</v>
      </c>
      <c r="Z2166" s="76">
        <f t="shared" si="128"/>
        <v>8.760046044907229</v>
      </c>
    </row>
    <row r="2167" spans="7:26">
      <c r="G2167" s="9"/>
      <c r="H2167" s="2"/>
      <c r="I2167" s="2"/>
      <c r="J2167" s="2"/>
      <c r="K2167" s="2"/>
      <c r="L2167" s="145"/>
      <c r="M2167" s="169" t="s">
        <v>388</v>
      </c>
      <c r="N2167" s="170" t="s">
        <v>41</v>
      </c>
      <c r="O2167" s="170" t="s">
        <v>41</v>
      </c>
      <c r="P2167" s="145"/>
      <c r="Q2167" s="73">
        <f t="shared" si="124"/>
        <v>25459919</v>
      </c>
      <c r="R2167" s="73">
        <f t="shared" si="124"/>
        <v>25459919</v>
      </c>
      <c r="S2167" s="73">
        <f t="shared" si="124"/>
        <v>26275735</v>
      </c>
      <c r="T2167" s="224">
        <f t="shared" si="124"/>
        <v>26275735</v>
      </c>
      <c r="U2167" s="73">
        <f t="shared" si="124"/>
        <v>3541860.8459999999</v>
      </c>
      <c r="V2167" s="74"/>
      <c r="W2167" s="224">
        <f t="shared" si="125"/>
        <v>26255709</v>
      </c>
      <c r="X2167" s="75">
        <f t="shared" si="126"/>
        <v>26275735</v>
      </c>
      <c r="Y2167" s="75">
        <f t="shared" si="127"/>
        <v>3541860.8459999999</v>
      </c>
      <c r="Z2167" s="76">
        <f t="shared" si="128"/>
        <v>7.4186243171225934</v>
      </c>
    </row>
    <row r="2168" spans="7:26">
      <c r="G2168" s="9"/>
      <c r="H2168" s="2"/>
      <c r="I2168" s="2"/>
      <c r="J2168" s="2"/>
      <c r="K2168" s="2"/>
      <c r="L2168" s="145"/>
      <c r="M2168" s="169" t="s">
        <v>402</v>
      </c>
      <c r="N2168" s="170" t="s">
        <v>19</v>
      </c>
      <c r="O2168" s="170" t="s">
        <v>84</v>
      </c>
      <c r="P2168" s="145"/>
      <c r="Q2168" s="73">
        <f t="shared" si="124"/>
        <v>74183</v>
      </c>
      <c r="R2168" s="73">
        <f t="shared" si="124"/>
        <v>74183</v>
      </c>
      <c r="S2168" s="73">
        <f t="shared" si="124"/>
        <v>1088006</v>
      </c>
      <c r="T2168" s="73">
        <f t="shared" si="124"/>
        <v>1088006</v>
      </c>
      <c r="U2168" s="73">
        <f t="shared" si="124"/>
        <v>54638.845000000001</v>
      </c>
      <c r="V2168" s="74"/>
      <c r="W2168" s="224">
        <f t="shared" si="125"/>
        <v>0</v>
      </c>
      <c r="X2168" s="75">
        <f t="shared" si="126"/>
        <v>1088006</v>
      </c>
      <c r="Y2168" s="75">
        <f t="shared" si="127"/>
        <v>54638.845000000001</v>
      </c>
      <c r="Z2168" s="76">
        <f t="shared" si="128"/>
        <v>19.912683000528286</v>
      </c>
    </row>
    <row r="2169" spans="7:26">
      <c r="G2169" s="9"/>
      <c r="H2169" s="2"/>
      <c r="I2169" s="2"/>
      <c r="J2169" s="2"/>
      <c r="K2169" s="2"/>
      <c r="L2169" s="145"/>
      <c r="M2169" s="169" t="s">
        <v>403</v>
      </c>
      <c r="N2169" s="170" t="s">
        <v>84</v>
      </c>
      <c r="O2169" s="170" t="s">
        <v>84</v>
      </c>
      <c r="P2169" s="145"/>
      <c r="Q2169" s="73">
        <f t="shared" si="124"/>
        <v>0</v>
      </c>
      <c r="R2169" s="73">
        <f t="shared" si="124"/>
        <v>0</v>
      </c>
      <c r="S2169" s="73">
        <f t="shared" si="124"/>
        <v>0</v>
      </c>
      <c r="T2169" s="73">
        <f t="shared" si="124"/>
        <v>0</v>
      </c>
      <c r="U2169" s="73">
        <f t="shared" si="124"/>
        <v>0</v>
      </c>
      <c r="V2169" s="74"/>
      <c r="W2169" s="224">
        <f t="shared" si="125"/>
        <v>0</v>
      </c>
      <c r="X2169" s="75">
        <f t="shared" si="126"/>
        <v>0</v>
      </c>
      <c r="Y2169" s="75">
        <f t="shared" si="127"/>
        <v>0</v>
      </c>
      <c r="Z2169" s="76" t="e">
        <f t="shared" si="128"/>
        <v>#DIV/0!</v>
      </c>
    </row>
    <row r="2170" spans="7:26">
      <c r="G2170" s="9"/>
      <c r="H2170" s="2"/>
      <c r="I2170" s="2"/>
      <c r="J2170" s="2"/>
      <c r="K2170" s="2"/>
      <c r="L2170" s="145"/>
      <c r="M2170" s="169" t="s">
        <v>398</v>
      </c>
      <c r="N2170" s="209" t="s">
        <v>410</v>
      </c>
      <c r="O2170" s="209" t="s">
        <v>84</v>
      </c>
      <c r="P2170" s="145"/>
      <c r="Q2170" s="73">
        <f t="shared" si="124"/>
        <v>0</v>
      </c>
      <c r="R2170" s="73">
        <f t="shared" si="124"/>
        <v>0</v>
      </c>
      <c r="S2170" s="73">
        <f t="shared" si="124"/>
        <v>0</v>
      </c>
      <c r="T2170" s="73">
        <f t="shared" si="124"/>
        <v>0</v>
      </c>
      <c r="U2170" s="73">
        <f t="shared" si="124"/>
        <v>0</v>
      </c>
      <c r="V2170" s="74"/>
      <c r="W2170" s="224">
        <f t="shared" si="125"/>
        <v>0</v>
      </c>
      <c r="X2170" s="75">
        <f t="shared" si="126"/>
        <v>0</v>
      </c>
      <c r="Y2170" s="75">
        <f t="shared" si="127"/>
        <v>0</v>
      </c>
      <c r="Z2170" s="76" t="e">
        <f t="shared" si="128"/>
        <v>#DIV/0!</v>
      </c>
    </row>
    <row r="2171" spans="7:26">
      <c r="G2171" s="9"/>
      <c r="H2171" s="2"/>
      <c r="I2171" s="2"/>
      <c r="J2171" s="2"/>
      <c r="K2171" s="2"/>
      <c r="L2171" s="145"/>
      <c r="M2171" s="169" t="s">
        <v>391</v>
      </c>
      <c r="N2171" s="170" t="s">
        <v>67</v>
      </c>
      <c r="O2171" s="170" t="s">
        <v>67</v>
      </c>
      <c r="P2171" s="145"/>
      <c r="Q2171" s="73">
        <f t="shared" si="124"/>
        <v>0</v>
      </c>
      <c r="R2171" s="73">
        <f t="shared" si="124"/>
        <v>0</v>
      </c>
      <c r="S2171" s="73">
        <f t="shared" si="124"/>
        <v>0</v>
      </c>
      <c r="T2171" s="73">
        <f t="shared" si="124"/>
        <v>0</v>
      </c>
      <c r="U2171" s="73">
        <f t="shared" si="124"/>
        <v>0</v>
      </c>
      <c r="V2171" s="74"/>
      <c r="W2171" s="224">
        <f t="shared" si="125"/>
        <v>0</v>
      </c>
      <c r="X2171" s="75">
        <f t="shared" si="126"/>
        <v>0</v>
      </c>
      <c r="Y2171" s="75">
        <f t="shared" si="127"/>
        <v>0</v>
      </c>
      <c r="Z2171" s="76" t="e">
        <f t="shared" si="128"/>
        <v>#DIV/0!</v>
      </c>
    </row>
    <row r="2172" spans="7:26">
      <c r="G2172" s="9"/>
      <c r="H2172" s="2"/>
      <c r="I2172" s="2"/>
      <c r="J2172" s="2"/>
      <c r="K2172" s="2"/>
      <c r="L2172" s="145"/>
      <c r="M2172" s="169" t="s">
        <v>390</v>
      </c>
      <c r="N2172" s="170" t="s">
        <v>63</v>
      </c>
      <c r="O2172" s="170" t="s">
        <v>63</v>
      </c>
      <c r="P2172" s="145"/>
      <c r="Q2172" s="73">
        <f t="shared" si="124"/>
        <v>21264</v>
      </c>
      <c r="R2172" s="73">
        <f t="shared" si="124"/>
        <v>21264</v>
      </c>
      <c r="S2172" s="73">
        <f t="shared" si="124"/>
        <v>130080</v>
      </c>
      <c r="T2172" s="224">
        <f t="shared" si="124"/>
        <v>130080</v>
      </c>
      <c r="U2172" s="73">
        <f t="shared" si="124"/>
        <v>7666.4069999999992</v>
      </c>
      <c r="V2172" s="74"/>
      <c r="W2172" s="224">
        <f t="shared" si="125"/>
        <v>15007</v>
      </c>
      <c r="X2172" s="75">
        <f t="shared" si="126"/>
        <v>130080</v>
      </c>
      <c r="Y2172" s="75">
        <f t="shared" si="127"/>
        <v>7666.4069999999992</v>
      </c>
      <c r="Z2172" s="76">
        <f t="shared" si="128"/>
        <v>16.967531204643844</v>
      </c>
    </row>
    <row r="2173" spans="7:26">
      <c r="G2173" s="9"/>
      <c r="H2173" s="2"/>
      <c r="I2173" s="2"/>
      <c r="J2173" s="2"/>
      <c r="K2173" s="2"/>
      <c r="L2173" s="145"/>
      <c r="M2173" s="169" t="s">
        <v>392</v>
      </c>
      <c r="N2173" s="209" t="s">
        <v>68</v>
      </c>
      <c r="O2173" s="170" t="s">
        <v>69</v>
      </c>
      <c r="P2173" s="145"/>
      <c r="Q2173" s="73">
        <f t="shared" si="124"/>
        <v>1986</v>
      </c>
      <c r="R2173" s="73">
        <f t="shared" si="124"/>
        <v>1986</v>
      </c>
      <c r="S2173" s="73">
        <f t="shared" si="124"/>
        <v>11222</v>
      </c>
      <c r="T2173" s="224">
        <f t="shared" si="124"/>
        <v>11222</v>
      </c>
      <c r="U2173" s="73">
        <f t="shared" si="124"/>
        <v>755</v>
      </c>
      <c r="V2173" s="74"/>
      <c r="W2173" s="224">
        <f t="shared" si="125"/>
        <v>5426</v>
      </c>
      <c r="X2173" s="75">
        <f t="shared" si="126"/>
        <v>11222</v>
      </c>
      <c r="Y2173" s="75">
        <f t="shared" si="127"/>
        <v>755</v>
      </c>
      <c r="Z2173" s="76">
        <f t="shared" si="128"/>
        <v>14.863576158940397</v>
      </c>
    </row>
    <row r="2174" spans="7:26">
      <c r="G2174" s="9"/>
      <c r="H2174" s="2"/>
      <c r="I2174" s="2"/>
      <c r="J2174" s="2"/>
      <c r="K2174" s="2"/>
      <c r="L2174" s="145"/>
      <c r="M2174" s="169" t="s">
        <v>393</v>
      </c>
      <c r="N2174" s="209" t="s">
        <v>78</v>
      </c>
      <c r="O2174" s="209" t="s">
        <v>69</v>
      </c>
      <c r="P2174" s="145"/>
      <c r="Q2174" s="73">
        <f t="shared" si="124"/>
        <v>0</v>
      </c>
      <c r="R2174" s="73">
        <f t="shared" si="124"/>
        <v>0</v>
      </c>
      <c r="S2174" s="73">
        <f t="shared" si="124"/>
        <v>0</v>
      </c>
      <c r="T2174" s="73">
        <f t="shared" si="124"/>
        <v>0</v>
      </c>
      <c r="U2174" s="73">
        <f t="shared" si="124"/>
        <v>0</v>
      </c>
      <c r="V2174" s="74"/>
      <c r="W2174" s="224">
        <f t="shared" si="125"/>
        <v>0</v>
      </c>
      <c r="X2174" s="75">
        <f t="shared" si="126"/>
        <v>0</v>
      </c>
      <c r="Y2174" s="75">
        <f t="shared" si="127"/>
        <v>0</v>
      </c>
      <c r="Z2174" s="76" t="e">
        <f t="shared" si="128"/>
        <v>#DIV/0!</v>
      </c>
    </row>
    <row r="2175" spans="7:26">
      <c r="G2175" s="9"/>
      <c r="H2175" s="2"/>
      <c r="I2175" s="2"/>
      <c r="J2175" s="2"/>
      <c r="K2175" s="2"/>
      <c r="L2175" s="145"/>
      <c r="M2175" s="169" t="s">
        <v>394</v>
      </c>
      <c r="N2175" s="209" t="s">
        <v>75</v>
      </c>
      <c r="O2175" s="209" t="s">
        <v>69</v>
      </c>
      <c r="P2175" s="145"/>
      <c r="Q2175" s="73">
        <f t="shared" si="124"/>
        <v>0</v>
      </c>
      <c r="R2175" s="73">
        <f t="shared" si="124"/>
        <v>0</v>
      </c>
      <c r="S2175" s="73">
        <f t="shared" si="124"/>
        <v>0</v>
      </c>
      <c r="T2175" s="73">
        <f t="shared" si="124"/>
        <v>0</v>
      </c>
      <c r="U2175" s="73">
        <f t="shared" si="124"/>
        <v>0</v>
      </c>
      <c r="V2175" s="74"/>
      <c r="W2175" s="224">
        <f t="shared" si="125"/>
        <v>0</v>
      </c>
      <c r="X2175" s="75">
        <f t="shared" si="126"/>
        <v>0</v>
      </c>
      <c r="Y2175" s="75">
        <f t="shared" si="127"/>
        <v>0</v>
      </c>
      <c r="Z2175" s="76" t="e">
        <f t="shared" si="128"/>
        <v>#DIV/0!</v>
      </c>
    </row>
    <row r="2176" spans="7:26">
      <c r="G2176" s="9"/>
      <c r="H2176" s="2"/>
      <c r="I2176" s="2"/>
      <c r="J2176" s="2"/>
      <c r="K2176" s="2"/>
      <c r="L2176" s="33"/>
      <c r="M2176" s="210" t="s">
        <v>448</v>
      </c>
      <c r="N2176" s="209" t="s">
        <v>439</v>
      </c>
      <c r="O2176" s="209" t="s">
        <v>440</v>
      </c>
      <c r="P2176" s="33"/>
      <c r="Q2176" s="73">
        <f t="shared" si="124"/>
        <v>0</v>
      </c>
      <c r="R2176" s="73">
        <f t="shared" si="124"/>
        <v>0</v>
      </c>
      <c r="S2176" s="73">
        <f t="shared" si="124"/>
        <v>0</v>
      </c>
      <c r="T2176" s="73">
        <f t="shared" si="124"/>
        <v>0</v>
      </c>
      <c r="U2176" s="73">
        <f t="shared" si="124"/>
        <v>0</v>
      </c>
      <c r="V2176" s="74"/>
      <c r="W2176" s="224">
        <f t="shared" si="125"/>
        <v>0</v>
      </c>
      <c r="X2176" s="75">
        <f>SUMIFS(T$7:T$2081,U$7:U$2081, "&gt;0",$K$7:$K$2081, "&lt;4",$G$7:$G$2081,$G$2139,$N$7:$N$2081,$N2176)</f>
        <v>1198</v>
      </c>
      <c r="Y2176" s="75">
        <f>SUMIFS(U$7:U$2081,U$7:U$2081, "&gt;0",$K$7:$K$2081, "&lt;4",$G$7:$G$2081,$G$2139,$N$7:$N$2081,$N2176)</f>
        <v>66.295999999999992</v>
      </c>
      <c r="Z2176" s="76">
        <f t="shared" si="128"/>
        <v>18.070471823337758</v>
      </c>
    </row>
    <row r="2177" spans="7:26">
      <c r="G2177" s="9"/>
      <c r="H2177" s="2"/>
      <c r="I2177" s="2"/>
      <c r="J2177" s="2"/>
      <c r="K2177" s="2"/>
      <c r="L2177" s="145"/>
      <c r="M2177" s="145"/>
      <c r="N2177" s="145"/>
      <c r="O2177" s="145"/>
      <c r="P2177" s="145"/>
      <c r="Q2177" s="2"/>
      <c r="R2177" s="2"/>
      <c r="S2177" s="2"/>
      <c r="T2177" s="2"/>
      <c r="U2177" s="2"/>
      <c r="V2177" s="2"/>
      <c r="W2177" s="2"/>
      <c r="X2177" s="2"/>
      <c r="Y2177" s="2"/>
      <c r="Z2177" s="80"/>
    </row>
    <row r="2178" spans="7:26">
      <c r="G2178" s="9"/>
      <c r="H2178" s="2" t="s">
        <v>405</v>
      </c>
      <c r="I2178" s="2"/>
      <c r="J2178" s="2"/>
      <c r="K2178" s="2"/>
      <c r="L2178" s="145"/>
      <c r="M2178" s="169" t="s">
        <v>396</v>
      </c>
      <c r="N2178" s="170" t="s">
        <v>65</v>
      </c>
      <c r="O2178" s="170" t="s">
        <v>66</v>
      </c>
      <c r="P2178" s="145"/>
      <c r="Q2178" s="73">
        <f t="shared" ref="Q2178:U2185" si="129">SUMIFS(Q$7:Q$2081,$K$7:$K$2081, "&lt;4",$G$7:$G$2081,$G$2164,$N$7:$N$2081,$N2178)</f>
        <v>1740714</v>
      </c>
      <c r="R2178" s="73">
        <f t="shared" si="129"/>
        <v>1740714</v>
      </c>
      <c r="S2178" s="73">
        <f t="shared" si="129"/>
        <v>822315</v>
      </c>
      <c r="T2178" s="73">
        <f t="shared" si="129"/>
        <v>822315</v>
      </c>
      <c r="U2178" s="73">
        <f t="shared" si="129"/>
        <v>48556</v>
      </c>
      <c r="V2178" s="74"/>
      <c r="W2178" s="224">
        <f t="shared" ref="W2178:W2185" si="130">SUMIFS(T$7:T$2081,$K$7:$K$2081, "&lt;4",$G$7:$G$2081,$G$2164,$N$7:$N$2081,$N2178, $W$7:$W$2081, "=x")</f>
        <v>0</v>
      </c>
      <c r="X2178" s="75">
        <f t="shared" ref="X2178:X2185" si="131">SUMIFS(T$7:T$2081,U$7:U$2081, "&gt;0",$K$7:$K$2081, "&lt;4",$G$7:$G$2081,$G$2164,$N$7:$N$2081,$N2178)</f>
        <v>822315</v>
      </c>
      <c r="Y2178" s="75">
        <f t="shared" ref="Y2178:Y2185" si="132">SUMIFS(U$7:U$2081,U$7:U$2081, "&gt;0",$K$7:$K$2081, "&lt;4",$G$7:$G$2081,$G$2164,$N$7:$N$2081,$N2178)</f>
        <v>48556</v>
      </c>
      <c r="Z2178" s="76">
        <f t="shared" ref="Z2178:Z2185" si="133">X2178/Y2178</f>
        <v>16.93539418403493</v>
      </c>
    </row>
    <row r="2179" spans="7:26">
      <c r="G2179" s="9"/>
      <c r="H2179" s="2"/>
      <c r="I2179" s="2"/>
      <c r="J2179" s="2"/>
      <c r="K2179" s="2"/>
      <c r="L2179" s="145"/>
      <c r="M2179" s="169" t="s">
        <v>399</v>
      </c>
      <c r="N2179" s="170" t="s">
        <v>18</v>
      </c>
      <c r="O2179" s="170" t="s">
        <v>66</v>
      </c>
      <c r="P2179" s="145"/>
      <c r="Q2179" s="73">
        <f t="shared" si="129"/>
        <v>116027</v>
      </c>
      <c r="R2179" s="73">
        <f t="shared" si="129"/>
        <v>116027</v>
      </c>
      <c r="S2179" s="73">
        <f t="shared" si="129"/>
        <v>890197</v>
      </c>
      <c r="T2179" s="73">
        <f t="shared" si="129"/>
        <v>890197</v>
      </c>
      <c r="U2179" s="73">
        <f t="shared" si="129"/>
        <v>44705.154999999999</v>
      </c>
      <c r="V2179" s="74"/>
      <c r="W2179" s="224">
        <f t="shared" si="130"/>
        <v>0</v>
      </c>
      <c r="X2179" s="75">
        <f t="shared" si="131"/>
        <v>890197</v>
      </c>
      <c r="Y2179" s="75">
        <f t="shared" si="132"/>
        <v>44705.154999999999</v>
      </c>
      <c r="Z2179" s="76">
        <f t="shared" si="133"/>
        <v>19.912625288962762</v>
      </c>
    </row>
    <row r="2180" spans="7:26">
      <c r="G2180" s="9"/>
      <c r="H2180" s="2"/>
      <c r="I2180" s="2"/>
      <c r="J2180" s="2"/>
      <c r="K2180" s="2"/>
      <c r="L2180" s="145"/>
      <c r="M2180" s="169" t="s">
        <v>395</v>
      </c>
      <c r="N2180" s="209" t="s">
        <v>159</v>
      </c>
      <c r="O2180" s="209" t="s">
        <v>72</v>
      </c>
      <c r="P2180" s="145"/>
      <c r="Q2180" s="73">
        <f t="shared" si="129"/>
        <v>0</v>
      </c>
      <c r="R2180" s="73">
        <f t="shared" si="129"/>
        <v>0</v>
      </c>
      <c r="S2180" s="73">
        <f t="shared" si="129"/>
        <v>0</v>
      </c>
      <c r="T2180" s="73">
        <f t="shared" si="129"/>
        <v>0</v>
      </c>
      <c r="U2180" s="73">
        <f t="shared" si="129"/>
        <v>0</v>
      </c>
      <c r="V2180" s="74"/>
      <c r="W2180" s="224">
        <f t="shared" si="130"/>
        <v>0</v>
      </c>
      <c r="X2180" s="75">
        <f t="shared" si="131"/>
        <v>0</v>
      </c>
      <c r="Y2180" s="75">
        <f t="shared" si="132"/>
        <v>0</v>
      </c>
      <c r="Z2180" s="76" t="e">
        <f t="shared" si="133"/>
        <v>#DIV/0!</v>
      </c>
    </row>
    <row r="2181" spans="7:26">
      <c r="G2181" s="9"/>
      <c r="H2181" s="2"/>
      <c r="I2181" s="2"/>
      <c r="J2181" s="2"/>
      <c r="K2181" s="2"/>
      <c r="L2181" s="145"/>
      <c r="M2181" s="169" t="s">
        <v>404</v>
      </c>
      <c r="N2181" s="209" t="s">
        <v>71</v>
      </c>
      <c r="O2181" s="209" t="s">
        <v>72</v>
      </c>
      <c r="P2181" s="145"/>
      <c r="Q2181" s="73">
        <f t="shared" si="129"/>
        <v>1797514</v>
      </c>
      <c r="R2181" s="73">
        <f t="shared" si="129"/>
        <v>1797514</v>
      </c>
      <c r="S2181" s="73">
        <f t="shared" si="129"/>
        <v>16411650</v>
      </c>
      <c r="T2181" s="73">
        <f t="shared" si="129"/>
        <v>16411650</v>
      </c>
      <c r="U2181" s="73">
        <f t="shared" si="129"/>
        <v>1080677.73</v>
      </c>
      <c r="V2181" s="74"/>
      <c r="W2181" s="224">
        <f t="shared" si="130"/>
        <v>0</v>
      </c>
      <c r="X2181" s="75">
        <f t="shared" si="131"/>
        <v>16411650</v>
      </c>
      <c r="Y2181" s="75">
        <f t="shared" si="132"/>
        <v>1080677.73</v>
      </c>
      <c r="Z2181" s="76">
        <f t="shared" si="133"/>
        <v>15.18644230782844</v>
      </c>
    </row>
    <row r="2182" spans="7:26">
      <c r="G2182" s="9"/>
      <c r="H2182" s="2"/>
      <c r="I2182" s="2"/>
      <c r="J2182" s="2"/>
      <c r="K2182" s="2"/>
      <c r="L2182" s="145"/>
      <c r="M2182" s="169" t="s">
        <v>397</v>
      </c>
      <c r="N2182" s="170" t="s">
        <v>160</v>
      </c>
      <c r="O2182" s="170" t="s">
        <v>51</v>
      </c>
      <c r="P2182" s="145"/>
      <c r="Q2182" s="73">
        <f t="shared" si="129"/>
        <v>0</v>
      </c>
      <c r="R2182" s="73">
        <f t="shared" si="129"/>
        <v>0</v>
      </c>
      <c r="S2182" s="73">
        <f t="shared" si="129"/>
        <v>0</v>
      </c>
      <c r="T2182" s="73">
        <f t="shared" si="129"/>
        <v>0</v>
      </c>
      <c r="U2182" s="73">
        <f t="shared" si="129"/>
        <v>0</v>
      </c>
      <c r="V2182" s="74"/>
      <c r="W2182" s="224">
        <f t="shared" si="130"/>
        <v>0</v>
      </c>
      <c r="X2182" s="75">
        <f t="shared" si="131"/>
        <v>0</v>
      </c>
      <c r="Y2182" s="75">
        <f t="shared" si="132"/>
        <v>0</v>
      </c>
      <c r="Z2182" s="76" t="e">
        <f t="shared" si="133"/>
        <v>#DIV/0!</v>
      </c>
    </row>
    <row r="2183" spans="7:26">
      <c r="G2183" s="9"/>
      <c r="H2183" s="2"/>
      <c r="I2183" s="2"/>
      <c r="J2183" s="2"/>
      <c r="K2183" s="2"/>
      <c r="L2183" s="33"/>
      <c r="M2183" s="210" t="s">
        <v>450</v>
      </c>
      <c r="N2183" s="209" t="s">
        <v>431</v>
      </c>
      <c r="O2183" s="209" t="s">
        <v>51</v>
      </c>
      <c r="P2183" s="145"/>
      <c r="Q2183" s="73">
        <f t="shared" si="129"/>
        <v>0</v>
      </c>
      <c r="R2183" s="73">
        <f t="shared" si="129"/>
        <v>0</v>
      </c>
      <c r="S2183" s="73">
        <f t="shared" si="129"/>
        <v>0</v>
      </c>
      <c r="T2183" s="73">
        <f t="shared" si="129"/>
        <v>0</v>
      </c>
      <c r="U2183" s="73">
        <f t="shared" si="129"/>
        <v>0</v>
      </c>
      <c r="V2183" s="74"/>
      <c r="W2183" s="224">
        <f t="shared" si="130"/>
        <v>0</v>
      </c>
      <c r="X2183" s="75">
        <f t="shared" si="131"/>
        <v>0</v>
      </c>
      <c r="Y2183" s="75">
        <f t="shared" si="132"/>
        <v>0</v>
      </c>
      <c r="Z2183" s="76" t="e">
        <f t="shared" si="133"/>
        <v>#DIV/0!</v>
      </c>
    </row>
    <row r="2184" spans="7:26">
      <c r="G2184" s="9"/>
      <c r="H2184" s="2"/>
      <c r="I2184" s="2"/>
      <c r="J2184" s="2"/>
      <c r="K2184" s="2"/>
      <c r="L2184" s="33"/>
      <c r="M2184" s="210" t="s">
        <v>2657</v>
      </c>
      <c r="N2184" s="209" t="s">
        <v>436</v>
      </c>
      <c r="O2184" s="209" t="s">
        <v>51</v>
      </c>
      <c r="P2184" s="145"/>
      <c r="Q2184" s="73">
        <f t="shared" si="129"/>
        <v>0</v>
      </c>
      <c r="R2184" s="73">
        <f t="shared" si="129"/>
        <v>0</v>
      </c>
      <c r="S2184" s="73">
        <f t="shared" si="129"/>
        <v>0</v>
      </c>
      <c r="T2184" s="73">
        <f t="shared" si="129"/>
        <v>0</v>
      </c>
      <c r="U2184" s="73">
        <f t="shared" si="129"/>
        <v>0</v>
      </c>
      <c r="V2184" s="74"/>
      <c r="W2184" s="224">
        <f t="shared" si="130"/>
        <v>0</v>
      </c>
      <c r="X2184" s="75">
        <f t="shared" si="131"/>
        <v>0</v>
      </c>
      <c r="Y2184" s="75">
        <f t="shared" si="132"/>
        <v>0</v>
      </c>
      <c r="Z2184" s="76" t="e">
        <f t="shared" si="133"/>
        <v>#DIV/0!</v>
      </c>
    </row>
    <row r="2185" spans="7:26">
      <c r="G2185" s="9"/>
      <c r="H2185" s="2"/>
      <c r="I2185" s="2"/>
      <c r="J2185" s="2"/>
      <c r="K2185" s="2"/>
      <c r="L2185" s="33"/>
      <c r="M2185" s="210" t="s">
        <v>449</v>
      </c>
      <c r="N2185" s="209" t="s">
        <v>70</v>
      </c>
      <c r="O2185" s="209" t="s">
        <v>51</v>
      </c>
      <c r="P2185" s="145"/>
      <c r="Q2185" s="73">
        <f t="shared" si="129"/>
        <v>0</v>
      </c>
      <c r="R2185" s="73">
        <f t="shared" si="129"/>
        <v>0</v>
      </c>
      <c r="S2185" s="73">
        <f t="shared" si="129"/>
        <v>0</v>
      </c>
      <c r="T2185" s="73">
        <f t="shared" si="129"/>
        <v>0</v>
      </c>
      <c r="U2185" s="73">
        <f t="shared" si="129"/>
        <v>0</v>
      </c>
      <c r="V2185" s="74"/>
      <c r="W2185" s="224">
        <f t="shared" si="130"/>
        <v>0</v>
      </c>
      <c r="X2185" s="75">
        <f t="shared" si="131"/>
        <v>0</v>
      </c>
      <c r="Y2185" s="75">
        <f t="shared" si="132"/>
        <v>0</v>
      </c>
      <c r="Z2185" s="76" t="e">
        <f t="shared" si="133"/>
        <v>#DIV/0!</v>
      </c>
    </row>
    <row r="2186" spans="7:26" ht="13">
      <c r="G2186" s="10"/>
      <c r="H2186" s="11"/>
      <c r="I2186" s="11"/>
      <c r="J2186" s="11"/>
      <c r="K2186" s="11"/>
      <c r="L2186" s="211"/>
      <c r="M2186" s="211"/>
      <c r="N2186" s="211"/>
      <c r="O2186" s="212"/>
      <c r="P2186" s="211"/>
      <c r="Q2186" s="38">
        <f>SUM(Q2164:Q2183)</f>
        <v>29383477</v>
      </c>
      <c r="R2186" s="38">
        <f>SUM(R2164:R2183)</f>
        <v>29383477</v>
      </c>
      <c r="S2186" s="38">
        <f>SUM(S2164:S2183)</f>
        <v>49882803</v>
      </c>
      <c r="T2186" s="38">
        <f>SUM(T2164:T2183)</f>
        <v>49882803</v>
      </c>
      <c r="U2186" s="38">
        <f>SUM(U2164:U2183)</f>
        <v>5130056.9950000001</v>
      </c>
      <c r="V2186" s="77"/>
      <c r="W2186" s="77"/>
      <c r="X2186" s="78"/>
      <c r="Y2186" s="78"/>
      <c r="Z2186" s="79"/>
    </row>
    <row r="2187" spans="7:26">
      <c r="L2187" s="28"/>
      <c r="M2187" s="28"/>
      <c r="N2187" s="28"/>
      <c r="O2187" s="28"/>
      <c r="P2187" s="28"/>
    </row>
    <row r="2188" spans="7:26">
      <c r="Q2188" s="14"/>
      <c r="R2188" s="14"/>
      <c r="S2188" s="14"/>
      <c r="T2188" s="14"/>
      <c r="U2188" s="14"/>
      <c r="X2188" s="14"/>
      <c r="Y2188" s="14"/>
      <c r="Z2188" s="1"/>
    </row>
    <row r="2189" spans="7:26">
      <c r="G2189" s="5" t="s">
        <v>59</v>
      </c>
      <c r="H2189" s="6" t="s">
        <v>406</v>
      </c>
      <c r="I2189" s="6"/>
      <c r="J2189" s="6"/>
      <c r="K2189" s="6"/>
      <c r="L2189" s="213"/>
      <c r="M2189" s="214" t="s">
        <v>400</v>
      </c>
      <c r="N2189" s="215" t="s">
        <v>45</v>
      </c>
      <c r="O2189" s="215" t="s">
        <v>46</v>
      </c>
      <c r="P2189" s="6"/>
      <c r="Q2189" s="69">
        <f t="shared" ref="Q2189:U2201" si="134">SUMIFS(Q$7:Q$2081,$K$7:$K$2081, "&lt;4",$G$7:$G$2081,$G$2189,$N$7:$N$2081,$N2189)</f>
        <v>186750</v>
      </c>
      <c r="R2189" s="69">
        <f t="shared" si="134"/>
        <v>186750</v>
      </c>
      <c r="S2189" s="69">
        <f t="shared" si="134"/>
        <v>4758947</v>
      </c>
      <c r="T2189" s="223">
        <f t="shared" si="134"/>
        <v>4758947</v>
      </c>
      <c r="U2189" s="69">
        <f t="shared" si="134"/>
        <v>421951.39799999999</v>
      </c>
      <c r="V2189" s="70"/>
      <c r="W2189" s="223">
        <f t="shared" ref="W2189:W2201" si="135">SUMIFS(T$7:T$2081,$K$7:$K$2081, "&lt;4",$G$7:$G$2081,$G$2189,$N$7:$N$2081,$N2189, $W$7:$W$2081, "=x")</f>
        <v>4758947</v>
      </c>
      <c r="X2189" s="71">
        <f t="shared" ref="X2189:X2200" si="136">SUMIFS(T$7:T$2081,U$7:U$2081, "&gt;0",$K$7:$K$2081, "&lt;4",$G$7:$G$2081,$G$2189,$N$7:$N$2081,$N2189)</f>
        <v>4758947</v>
      </c>
      <c r="Y2189" s="71">
        <f t="shared" ref="Y2189:Y2200" si="137">SUMIFS(U$7:U$2081,U$7:U$2081, "&gt;0",$K$7:$K$2081, "&lt;4",$G$7:$G$2081,$G$2189,$N$7:$N$2081,$N2189)</f>
        <v>421951.39799999999</v>
      </c>
      <c r="Z2189" s="72">
        <f t="shared" ref="Z2189:Z2201" si="138">X2189/Y2189</f>
        <v>11.27842453551961</v>
      </c>
    </row>
    <row r="2190" spans="7:26">
      <c r="G2190" s="9"/>
      <c r="H2190" s="2"/>
      <c r="I2190" s="2"/>
      <c r="J2190" s="2"/>
      <c r="K2190" s="2"/>
      <c r="L2190" s="145"/>
      <c r="M2190" s="169" t="s">
        <v>401</v>
      </c>
      <c r="N2190" s="170" t="s">
        <v>50</v>
      </c>
      <c r="O2190" s="170" t="s">
        <v>46</v>
      </c>
      <c r="P2190" s="2"/>
      <c r="Q2190" s="73">
        <f t="shared" si="134"/>
        <v>0</v>
      </c>
      <c r="R2190" s="73">
        <f t="shared" si="134"/>
        <v>0</v>
      </c>
      <c r="S2190" s="73">
        <f t="shared" si="134"/>
        <v>0</v>
      </c>
      <c r="T2190" s="73">
        <f t="shared" si="134"/>
        <v>0</v>
      </c>
      <c r="U2190" s="73">
        <f t="shared" si="134"/>
        <v>0</v>
      </c>
      <c r="V2190" s="74"/>
      <c r="W2190" s="224">
        <f t="shared" si="135"/>
        <v>0</v>
      </c>
      <c r="X2190" s="75">
        <f t="shared" si="136"/>
        <v>0</v>
      </c>
      <c r="Y2190" s="75">
        <f t="shared" si="137"/>
        <v>0</v>
      </c>
      <c r="Z2190" s="76" t="e">
        <f t="shared" si="138"/>
        <v>#DIV/0!</v>
      </c>
    </row>
    <row r="2191" spans="7:26">
      <c r="G2191" s="9"/>
      <c r="H2191" s="2"/>
      <c r="I2191" s="2"/>
      <c r="J2191" s="2"/>
      <c r="K2191" s="2"/>
      <c r="L2191" s="145"/>
      <c r="M2191" s="169" t="s">
        <v>389</v>
      </c>
      <c r="N2191" s="170" t="s">
        <v>48</v>
      </c>
      <c r="O2191" s="170" t="s">
        <v>48</v>
      </c>
      <c r="P2191" s="2"/>
      <c r="Q2191" s="73">
        <f t="shared" si="134"/>
        <v>381554</v>
      </c>
      <c r="R2191" s="73">
        <f t="shared" si="134"/>
        <v>361587</v>
      </c>
      <c r="S2191" s="73">
        <f t="shared" si="134"/>
        <v>2198978</v>
      </c>
      <c r="T2191" s="224">
        <f t="shared" si="134"/>
        <v>2083573</v>
      </c>
      <c r="U2191" s="73">
        <f t="shared" si="134"/>
        <v>235378.658</v>
      </c>
      <c r="V2191" s="74"/>
      <c r="W2191" s="224">
        <f t="shared" si="135"/>
        <v>1078895</v>
      </c>
      <c r="X2191" s="75">
        <f t="shared" si="136"/>
        <v>2076789</v>
      </c>
      <c r="Y2191" s="75">
        <f t="shared" si="137"/>
        <v>235757.51300000004</v>
      </c>
      <c r="Z2191" s="76">
        <f t="shared" si="138"/>
        <v>8.8090045300062165</v>
      </c>
    </row>
    <row r="2192" spans="7:26">
      <c r="G2192" s="9"/>
      <c r="H2192" s="2"/>
      <c r="I2192" s="2"/>
      <c r="J2192" s="2"/>
      <c r="K2192" s="780"/>
      <c r="L2192" s="779"/>
      <c r="M2192" s="775" t="s">
        <v>3264</v>
      </c>
      <c r="N2192" s="170" t="s">
        <v>41</v>
      </c>
      <c r="O2192" s="170" t="s">
        <v>41</v>
      </c>
      <c r="P2192" s="2"/>
      <c r="Q2192" s="73">
        <f>SUMIFS(Q$7:Q$2081,$K$7:$K$2081, "&lt;4",$G$7:$G$2081,$G$2189,$N$7:$N$2081,$N2192)-Q2267</f>
        <v>378165864</v>
      </c>
      <c r="R2192" s="73">
        <f>SUMIFS(R$7:R$2081,$K$7:$K$2081, "&lt;4",$G$7:$G$2081,$G$2189,$N$7:$N$2081,$N2192)-R2267</f>
        <v>355177612</v>
      </c>
      <c r="S2192" s="73">
        <f>SUMIFS(S$7:S$2081,$K$7:$K$2081, "&lt;4",$G$7:$G$2081,$G$2189,$N$7:$N$2081,$N2192)-S2267</f>
        <v>390005086</v>
      </c>
      <c r="T2192" s="224">
        <f>SUMIFS(T$7:T$2081,$K$7:$K$2081, "&lt;4",$G$7:$G$2081,$G$2189,$N$7:$N$2081,$N2192)-T2267</f>
        <v>366176429</v>
      </c>
      <c r="U2192" s="73">
        <f>SUMIFS(U$7:U$2081,$K$7:$K$2081, "&lt;4",$G$7:$G$2081,$G$2189,$N$7:$N$2081,$N2192)-U2267</f>
        <v>46160967.822999991</v>
      </c>
      <c r="V2192" s="785"/>
      <c r="W2192" s="224">
        <f t="shared" si="135"/>
        <v>240997168</v>
      </c>
      <c r="X2192" s="776">
        <f>SUMIFS(T$7:T$2081,U$7:U$2081, "&gt;0",$K$7:$K$2081, "&lt;4",$G$7:$G$2081,$G$2189,$N$7:$N$2081,$N2192)-X2267</f>
        <v>366167293</v>
      </c>
      <c r="Y2192" s="776">
        <f>SUMIFS(U$7:U$2081,U$7:U$2081, "&gt;0",$K$7:$K$2081, "&lt;4",$G$7:$G$2081,$G$2189,$N$7:$N$2081,$N2192)-Y2267</f>
        <v>46161600.967999995</v>
      </c>
      <c r="Z2192" s="777">
        <f t="shared" si="138"/>
        <v>7.9322918902625013</v>
      </c>
    </row>
    <row r="2193" spans="7:26">
      <c r="G2193" s="9"/>
      <c r="H2193" s="2"/>
      <c r="I2193" s="2"/>
      <c r="J2193" s="2"/>
      <c r="K2193" s="2"/>
      <c r="L2193" s="145"/>
      <c r="M2193" s="169" t="s">
        <v>402</v>
      </c>
      <c r="N2193" s="170" t="s">
        <v>19</v>
      </c>
      <c r="O2193" s="170" t="s">
        <v>84</v>
      </c>
      <c r="P2193" s="2"/>
      <c r="Q2193" s="73">
        <f t="shared" si="134"/>
        <v>1166531</v>
      </c>
      <c r="R2193" s="73">
        <f t="shared" si="134"/>
        <v>887484</v>
      </c>
      <c r="S2193" s="73">
        <f t="shared" si="134"/>
        <v>16542483</v>
      </c>
      <c r="T2193" s="73">
        <f t="shared" si="134"/>
        <v>12685823</v>
      </c>
      <c r="U2193" s="73">
        <f t="shared" si="134"/>
        <v>731435.51100000006</v>
      </c>
      <c r="V2193" s="74"/>
      <c r="W2193" s="224">
        <f t="shared" si="135"/>
        <v>0</v>
      </c>
      <c r="X2193" s="75">
        <f t="shared" si="136"/>
        <v>12685823</v>
      </c>
      <c r="Y2193" s="75">
        <f t="shared" si="137"/>
        <v>731435.51100000006</v>
      </c>
      <c r="Z2193" s="76">
        <f t="shared" si="138"/>
        <v>17.343734080747961</v>
      </c>
    </row>
    <row r="2194" spans="7:26">
      <c r="G2194" s="9"/>
      <c r="H2194" s="2"/>
      <c r="I2194" s="2"/>
      <c r="J2194" s="2"/>
      <c r="K2194" s="2"/>
      <c r="L2194" s="145"/>
      <c r="M2194" s="169" t="s">
        <v>403</v>
      </c>
      <c r="N2194" s="170" t="s">
        <v>84</v>
      </c>
      <c r="O2194" s="170" t="s">
        <v>84</v>
      </c>
      <c r="P2194" s="2"/>
      <c r="Q2194" s="73">
        <f t="shared" si="134"/>
        <v>0</v>
      </c>
      <c r="R2194" s="73">
        <f t="shared" si="134"/>
        <v>0</v>
      </c>
      <c r="S2194" s="73">
        <f t="shared" si="134"/>
        <v>0</v>
      </c>
      <c r="T2194" s="73">
        <f t="shared" si="134"/>
        <v>0</v>
      </c>
      <c r="U2194" s="73">
        <f t="shared" si="134"/>
        <v>0</v>
      </c>
      <c r="V2194" s="74"/>
      <c r="W2194" s="224">
        <f t="shared" si="135"/>
        <v>0</v>
      </c>
      <c r="X2194" s="75">
        <f t="shared" si="136"/>
        <v>0</v>
      </c>
      <c r="Y2194" s="75">
        <f t="shared" si="137"/>
        <v>0</v>
      </c>
      <c r="Z2194" s="76" t="e">
        <f t="shared" si="138"/>
        <v>#DIV/0!</v>
      </c>
    </row>
    <row r="2195" spans="7:26">
      <c r="G2195" s="9"/>
      <c r="H2195" s="2"/>
      <c r="I2195" s="2"/>
      <c r="J2195" s="2"/>
      <c r="K2195" s="2"/>
      <c r="L2195" s="145"/>
      <c r="M2195" s="169" t="s">
        <v>398</v>
      </c>
      <c r="N2195" s="209" t="s">
        <v>410</v>
      </c>
      <c r="O2195" s="209" t="s">
        <v>84</v>
      </c>
      <c r="P2195" s="2"/>
      <c r="Q2195" s="73">
        <f t="shared" si="134"/>
        <v>2040</v>
      </c>
      <c r="R2195" s="73">
        <f t="shared" si="134"/>
        <v>2040</v>
      </c>
      <c r="S2195" s="73">
        <f t="shared" si="134"/>
        <v>54161</v>
      </c>
      <c r="T2195" s="73">
        <f t="shared" si="134"/>
        <v>54161</v>
      </c>
      <c r="U2195" s="73">
        <f t="shared" si="134"/>
        <v>2695.7829999999999</v>
      </c>
      <c r="V2195" s="74"/>
      <c r="W2195" s="224">
        <f t="shared" si="135"/>
        <v>0</v>
      </c>
      <c r="X2195" s="75">
        <f t="shared" si="136"/>
        <v>54161</v>
      </c>
      <c r="Y2195" s="75">
        <f t="shared" si="137"/>
        <v>2695.7829999999999</v>
      </c>
      <c r="Z2195" s="76">
        <f t="shared" si="138"/>
        <v>20.09100880894345</v>
      </c>
    </row>
    <row r="2196" spans="7:26">
      <c r="G2196" s="9"/>
      <c r="H2196" s="2"/>
      <c r="I2196" s="2"/>
      <c r="J2196" s="2"/>
      <c r="K2196" s="2"/>
      <c r="L2196" s="145"/>
      <c r="M2196" s="169" t="s">
        <v>391</v>
      </c>
      <c r="N2196" s="170" t="s">
        <v>67</v>
      </c>
      <c r="O2196" s="170" t="s">
        <v>67</v>
      </c>
      <c r="P2196" s="2"/>
      <c r="Q2196" s="73">
        <f t="shared" si="134"/>
        <v>0</v>
      </c>
      <c r="R2196" s="73">
        <f t="shared" si="134"/>
        <v>0</v>
      </c>
      <c r="S2196" s="73">
        <f t="shared" si="134"/>
        <v>0</v>
      </c>
      <c r="T2196" s="73">
        <f t="shared" si="134"/>
        <v>0</v>
      </c>
      <c r="U2196" s="73">
        <f t="shared" si="134"/>
        <v>0</v>
      </c>
      <c r="V2196" s="74"/>
      <c r="W2196" s="224">
        <f t="shared" si="135"/>
        <v>0</v>
      </c>
      <c r="X2196" s="75">
        <f t="shared" si="136"/>
        <v>0</v>
      </c>
      <c r="Y2196" s="75">
        <f t="shared" si="137"/>
        <v>0</v>
      </c>
      <c r="Z2196" s="76" t="e">
        <f t="shared" si="138"/>
        <v>#DIV/0!</v>
      </c>
    </row>
    <row r="2197" spans="7:26">
      <c r="G2197" s="9"/>
      <c r="H2197" s="2"/>
      <c r="I2197" s="2"/>
      <c r="J2197" s="2"/>
      <c r="K2197" s="2"/>
      <c r="L2197" s="145"/>
      <c r="M2197" s="169" t="s">
        <v>390</v>
      </c>
      <c r="N2197" s="170" t="s">
        <v>63</v>
      </c>
      <c r="O2197" s="170" t="s">
        <v>63</v>
      </c>
      <c r="P2197" s="2"/>
      <c r="Q2197" s="73">
        <f t="shared" si="134"/>
        <v>360895</v>
      </c>
      <c r="R2197" s="73">
        <f t="shared" si="134"/>
        <v>344068</v>
      </c>
      <c r="S2197" s="73">
        <f t="shared" si="134"/>
        <v>2238714</v>
      </c>
      <c r="T2197" s="224">
        <f t="shared" si="134"/>
        <v>2137969</v>
      </c>
      <c r="U2197" s="73">
        <f t="shared" si="134"/>
        <v>172542.24100000001</v>
      </c>
      <c r="V2197" s="74"/>
      <c r="W2197" s="224">
        <f t="shared" si="135"/>
        <v>1858387</v>
      </c>
      <c r="X2197" s="75">
        <f t="shared" si="136"/>
        <v>2137969</v>
      </c>
      <c r="Y2197" s="75">
        <f t="shared" si="137"/>
        <v>172542.24100000001</v>
      </c>
      <c r="Z2197" s="76">
        <f t="shared" si="138"/>
        <v>12.390988940499502</v>
      </c>
    </row>
    <row r="2198" spans="7:26">
      <c r="G2198" s="9"/>
      <c r="H2198" s="2"/>
      <c r="I2198" s="2"/>
      <c r="J2198" s="2"/>
      <c r="K2198" s="2"/>
      <c r="L2198" s="145"/>
      <c r="M2198" s="169" t="s">
        <v>392</v>
      </c>
      <c r="N2198" s="209" t="s">
        <v>68</v>
      </c>
      <c r="O2198" s="170" t="s">
        <v>69</v>
      </c>
      <c r="P2198" s="2"/>
      <c r="Q2198" s="73">
        <f t="shared" si="134"/>
        <v>0</v>
      </c>
      <c r="R2198" s="73">
        <f t="shared" si="134"/>
        <v>0</v>
      </c>
      <c r="S2198" s="73">
        <f t="shared" si="134"/>
        <v>0</v>
      </c>
      <c r="T2198" s="73">
        <f t="shared" si="134"/>
        <v>0</v>
      </c>
      <c r="U2198" s="73">
        <f t="shared" si="134"/>
        <v>0</v>
      </c>
      <c r="V2198" s="74"/>
      <c r="W2198" s="224">
        <f t="shared" si="135"/>
        <v>0</v>
      </c>
      <c r="X2198" s="75">
        <f t="shared" si="136"/>
        <v>0</v>
      </c>
      <c r="Y2198" s="75">
        <f t="shared" si="137"/>
        <v>0</v>
      </c>
      <c r="Z2198" s="76" t="e">
        <f t="shared" si="138"/>
        <v>#DIV/0!</v>
      </c>
    </row>
    <row r="2199" spans="7:26">
      <c r="G2199" s="9"/>
      <c r="H2199" s="2"/>
      <c r="I2199" s="2"/>
      <c r="J2199" s="2"/>
      <c r="K2199" s="2"/>
      <c r="L2199" s="145"/>
      <c r="M2199" s="169" t="s">
        <v>393</v>
      </c>
      <c r="N2199" s="209" t="s">
        <v>78</v>
      </c>
      <c r="O2199" s="209" t="s">
        <v>69</v>
      </c>
      <c r="P2199" s="2"/>
      <c r="Q2199" s="73">
        <f t="shared" si="134"/>
        <v>159059</v>
      </c>
      <c r="R2199" s="73">
        <f t="shared" si="134"/>
        <v>159059</v>
      </c>
      <c r="S2199" s="73">
        <f t="shared" si="134"/>
        <v>913824</v>
      </c>
      <c r="T2199" s="224">
        <f t="shared" si="134"/>
        <v>913824</v>
      </c>
      <c r="U2199" s="73">
        <f t="shared" si="134"/>
        <v>78755.978999999992</v>
      </c>
      <c r="V2199" s="74"/>
      <c r="W2199" s="224">
        <f t="shared" si="135"/>
        <v>806562</v>
      </c>
      <c r="X2199" s="75">
        <f t="shared" si="136"/>
        <v>913824</v>
      </c>
      <c r="Y2199" s="75">
        <f t="shared" si="137"/>
        <v>78755.978999999992</v>
      </c>
      <c r="Z2199" s="76">
        <f t="shared" si="138"/>
        <v>11.603233324037532</v>
      </c>
    </row>
    <row r="2200" spans="7:26">
      <c r="G2200" s="9"/>
      <c r="H2200" s="2"/>
      <c r="I2200" s="2"/>
      <c r="J2200" s="2"/>
      <c r="K2200" s="2"/>
      <c r="L2200" s="145"/>
      <c r="M2200" s="169" t="s">
        <v>394</v>
      </c>
      <c r="N2200" s="209" t="s">
        <v>75</v>
      </c>
      <c r="O2200" s="209" t="s">
        <v>69</v>
      </c>
      <c r="P2200" s="2"/>
      <c r="Q2200" s="73">
        <f t="shared" si="134"/>
        <v>0</v>
      </c>
      <c r="R2200" s="73">
        <f t="shared" si="134"/>
        <v>0</v>
      </c>
      <c r="S2200" s="73">
        <f t="shared" si="134"/>
        <v>0</v>
      </c>
      <c r="T2200" s="73">
        <f t="shared" si="134"/>
        <v>0</v>
      </c>
      <c r="U2200" s="73">
        <f t="shared" si="134"/>
        <v>0</v>
      </c>
      <c r="V2200" s="74"/>
      <c r="W2200" s="224">
        <f t="shared" si="135"/>
        <v>0</v>
      </c>
      <c r="X2200" s="75">
        <f t="shared" si="136"/>
        <v>0</v>
      </c>
      <c r="Y2200" s="75">
        <f t="shared" si="137"/>
        <v>0</v>
      </c>
      <c r="Z2200" s="76" t="e">
        <f t="shared" si="138"/>
        <v>#DIV/0!</v>
      </c>
    </row>
    <row r="2201" spans="7:26">
      <c r="G2201" s="9"/>
      <c r="H2201" s="2"/>
      <c r="I2201" s="2"/>
      <c r="J2201" s="2"/>
      <c r="K2201" s="2"/>
      <c r="L2201" s="33"/>
      <c r="M2201" s="210" t="s">
        <v>448</v>
      </c>
      <c r="N2201" s="209" t="s">
        <v>439</v>
      </c>
      <c r="O2201" s="209" t="s">
        <v>440</v>
      </c>
      <c r="P2201" s="18"/>
      <c r="Q2201" s="73">
        <f t="shared" si="134"/>
        <v>3498</v>
      </c>
      <c r="R2201" s="73">
        <f t="shared" si="134"/>
        <v>3498</v>
      </c>
      <c r="S2201" s="73">
        <f t="shared" si="134"/>
        <v>8748</v>
      </c>
      <c r="T2201" s="73">
        <f t="shared" si="134"/>
        <v>8748</v>
      </c>
      <c r="U2201" s="73">
        <f t="shared" si="134"/>
        <v>412.29599999999999</v>
      </c>
      <c r="V2201" s="74"/>
      <c r="W2201" s="224">
        <f t="shared" si="135"/>
        <v>0</v>
      </c>
      <c r="X2201" s="75">
        <f>SUMIFS(T$7:T$2081,U$7:U$2081, "&gt;0",$K$7:$K$2081, "&lt;4",$G$7:$G$2081,$G$2139,$N$7:$N$2081,$N2201)</f>
        <v>1198</v>
      </c>
      <c r="Y2201" s="75">
        <f>SUMIFS(U$7:U$2081,U$7:U$2081, "&gt;0",$K$7:$K$2081, "&lt;4",$G$7:$G$2081,$G$2139,$N$7:$N$2081,$N2201)</f>
        <v>66.295999999999992</v>
      </c>
      <c r="Z2201" s="76">
        <f t="shared" si="138"/>
        <v>18.070471823337758</v>
      </c>
    </row>
    <row r="2202" spans="7:26">
      <c r="G2202" s="9"/>
      <c r="H2202" s="2"/>
      <c r="I2202" s="2"/>
      <c r="J2202" s="2"/>
      <c r="K2202" s="2"/>
      <c r="L2202" s="145"/>
      <c r="M2202" s="145"/>
      <c r="N2202" s="145"/>
      <c r="O2202" s="145"/>
      <c r="P2202" s="2"/>
      <c r="Q2202" s="2"/>
      <c r="R2202" s="2"/>
      <c r="S2202" s="2"/>
      <c r="T2202" s="2"/>
      <c r="U2202" s="2"/>
      <c r="V2202" s="2"/>
      <c r="W2202" s="2"/>
      <c r="X2202" s="2"/>
      <c r="Y2202" s="2"/>
      <c r="Z2202" s="80"/>
    </row>
    <row r="2203" spans="7:26">
      <c r="G2203" s="9"/>
      <c r="H2203" s="2" t="s">
        <v>405</v>
      </c>
      <c r="I2203" s="2"/>
      <c r="J2203" s="2"/>
      <c r="K2203" s="2"/>
      <c r="L2203" s="145"/>
      <c r="M2203" s="169" t="s">
        <v>396</v>
      </c>
      <c r="N2203" s="170" t="s">
        <v>65</v>
      </c>
      <c r="O2203" s="170" t="s">
        <v>66</v>
      </c>
      <c r="P2203" s="2"/>
      <c r="Q2203" s="73">
        <f t="shared" ref="Q2203:U2210" si="139">SUMIFS(Q$7:Q$2081,$K$7:$K$2081, "&lt;4",$G$7:$G$2081,$G$2189,$N$7:$N$2081,$N2203)</f>
        <v>16168460</v>
      </c>
      <c r="R2203" s="73">
        <f t="shared" si="139"/>
        <v>16168460</v>
      </c>
      <c r="S2203" s="73">
        <f t="shared" si="139"/>
        <v>8069148</v>
      </c>
      <c r="T2203" s="73">
        <f t="shared" si="139"/>
        <v>8069148</v>
      </c>
      <c r="U2203" s="73">
        <f t="shared" si="139"/>
        <v>678262</v>
      </c>
      <c r="V2203" s="74"/>
      <c r="W2203" s="224">
        <f t="shared" ref="W2203:W2210" si="140">SUMIFS(T$7:T$2081,$K$7:$K$2081, "&lt;4",$G$7:$G$2081,$G$2189,$N$7:$N$2081,$N2203, $W$7:$W$2081, "=x")</f>
        <v>0</v>
      </c>
      <c r="X2203" s="75">
        <f t="shared" ref="X2203:X2210" si="141">SUMIFS(T$7:T$2081,U$7:U$2081, "&gt;0",$K$7:$K$2081, "&lt;4",$G$7:$G$2081,$G$2189,$N$7:$N$2081,$N2203)</f>
        <v>8069148</v>
      </c>
      <c r="Y2203" s="75">
        <f t="shared" ref="Y2203:Y2210" si="142">SUMIFS(U$7:U$2081,U$7:U$2081, "&gt;0",$K$7:$K$2081, "&lt;4",$G$7:$G$2081,$G$2189,$N$7:$N$2081,$N2203)</f>
        <v>678262</v>
      </c>
      <c r="Z2203" s="76">
        <f t="shared" ref="Z2203:Z2210" si="143">X2203/Y2203</f>
        <v>11.8968009412292</v>
      </c>
    </row>
    <row r="2204" spans="7:26">
      <c r="G2204" s="9"/>
      <c r="H2204" s="2"/>
      <c r="I2204" s="2"/>
      <c r="J2204" s="2"/>
      <c r="K2204" s="2"/>
      <c r="L2204" s="145"/>
      <c r="M2204" s="169" t="s">
        <v>399</v>
      </c>
      <c r="N2204" s="170" t="s">
        <v>18</v>
      </c>
      <c r="O2204" s="170" t="s">
        <v>66</v>
      </c>
      <c r="P2204" s="2"/>
      <c r="Q2204" s="73">
        <f t="shared" si="139"/>
        <v>1824574</v>
      </c>
      <c r="R2204" s="73">
        <f t="shared" si="139"/>
        <v>1388113</v>
      </c>
      <c r="S2204" s="73">
        <f t="shared" si="139"/>
        <v>13534717</v>
      </c>
      <c r="T2204" s="73">
        <f t="shared" si="139"/>
        <v>10379221</v>
      </c>
      <c r="U2204" s="73">
        <f t="shared" si="139"/>
        <v>598442.67599999998</v>
      </c>
      <c r="V2204" s="74"/>
      <c r="W2204" s="224">
        <f t="shared" si="140"/>
        <v>0</v>
      </c>
      <c r="X2204" s="75">
        <f t="shared" si="141"/>
        <v>10379221</v>
      </c>
      <c r="Y2204" s="75">
        <f t="shared" si="142"/>
        <v>598442.67599999998</v>
      </c>
      <c r="Z2204" s="76">
        <f t="shared" si="143"/>
        <v>17.343717980433603</v>
      </c>
    </row>
    <row r="2205" spans="7:26">
      <c r="G2205" s="9"/>
      <c r="H2205" s="2"/>
      <c r="I2205" s="2"/>
      <c r="J2205" s="2"/>
      <c r="K2205" s="2"/>
      <c r="L2205" s="145"/>
      <c r="M2205" s="169" t="s">
        <v>395</v>
      </c>
      <c r="N2205" s="209" t="s">
        <v>159</v>
      </c>
      <c r="O2205" s="209" t="s">
        <v>72</v>
      </c>
      <c r="P2205" s="2"/>
      <c r="Q2205" s="73">
        <f t="shared" si="139"/>
        <v>0</v>
      </c>
      <c r="R2205" s="73">
        <f t="shared" si="139"/>
        <v>0</v>
      </c>
      <c r="S2205" s="73">
        <f t="shared" si="139"/>
        <v>0</v>
      </c>
      <c r="T2205" s="73">
        <f t="shared" si="139"/>
        <v>0</v>
      </c>
      <c r="U2205" s="73">
        <f t="shared" si="139"/>
        <v>0</v>
      </c>
      <c r="V2205" s="74"/>
      <c r="W2205" s="224">
        <f t="shared" si="140"/>
        <v>0</v>
      </c>
      <c r="X2205" s="75">
        <f t="shared" si="141"/>
        <v>0</v>
      </c>
      <c r="Y2205" s="75">
        <f t="shared" si="142"/>
        <v>0</v>
      </c>
      <c r="Z2205" s="76" t="e">
        <f t="shared" si="143"/>
        <v>#DIV/0!</v>
      </c>
    </row>
    <row r="2206" spans="7:26">
      <c r="G2206" s="9"/>
      <c r="H2206" s="2"/>
      <c r="I2206" s="2"/>
      <c r="J2206" s="2"/>
      <c r="K2206" s="2"/>
      <c r="L2206" s="145"/>
      <c r="M2206" s="169" t="s">
        <v>404</v>
      </c>
      <c r="N2206" s="209" t="s">
        <v>71</v>
      </c>
      <c r="O2206" s="209" t="s">
        <v>72</v>
      </c>
      <c r="P2206" s="2"/>
      <c r="Q2206" s="73">
        <f t="shared" si="139"/>
        <v>540165</v>
      </c>
      <c r="R2206" s="73">
        <f t="shared" si="139"/>
        <v>540165</v>
      </c>
      <c r="S2206" s="73">
        <f t="shared" si="139"/>
        <v>5671735</v>
      </c>
      <c r="T2206" s="73">
        <f t="shared" si="139"/>
        <v>5671735</v>
      </c>
      <c r="U2206" s="73">
        <f t="shared" si="139"/>
        <v>292435.95</v>
      </c>
      <c r="V2206" s="74"/>
      <c r="W2206" s="224">
        <f t="shared" si="140"/>
        <v>0</v>
      </c>
      <c r="X2206" s="75">
        <f t="shared" si="141"/>
        <v>5671735</v>
      </c>
      <c r="Y2206" s="75">
        <f t="shared" si="142"/>
        <v>292435.95</v>
      </c>
      <c r="Z2206" s="76">
        <f t="shared" si="143"/>
        <v>19.394793971124276</v>
      </c>
    </row>
    <row r="2207" spans="7:26">
      <c r="G2207" s="9"/>
      <c r="H2207" s="2"/>
      <c r="I2207" s="2"/>
      <c r="J2207" s="2"/>
      <c r="K2207" s="2"/>
      <c r="L2207" s="145"/>
      <c r="M2207" s="169" t="s">
        <v>397</v>
      </c>
      <c r="N2207" s="170" t="s">
        <v>160</v>
      </c>
      <c r="O2207" s="170" t="s">
        <v>51</v>
      </c>
      <c r="P2207" s="2"/>
      <c r="Q2207" s="73">
        <f t="shared" si="139"/>
        <v>0</v>
      </c>
      <c r="R2207" s="73">
        <f t="shared" si="139"/>
        <v>0</v>
      </c>
      <c r="S2207" s="73">
        <f t="shared" si="139"/>
        <v>0</v>
      </c>
      <c r="T2207" s="73">
        <f t="shared" si="139"/>
        <v>0</v>
      </c>
      <c r="U2207" s="73">
        <f t="shared" si="139"/>
        <v>0</v>
      </c>
      <c r="V2207" s="74"/>
      <c r="W2207" s="224">
        <f t="shared" si="140"/>
        <v>0</v>
      </c>
      <c r="X2207" s="75">
        <f t="shared" si="141"/>
        <v>0</v>
      </c>
      <c r="Y2207" s="75">
        <f t="shared" si="142"/>
        <v>0</v>
      </c>
      <c r="Z2207" s="76" t="e">
        <f>X2207/Y2207</f>
        <v>#DIV/0!</v>
      </c>
    </row>
    <row r="2208" spans="7:26">
      <c r="G2208" s="9"/>
      <c r="H2208" s="2"/>
      <c r="I2208" s="2"/>
      <c r="J2208" s="2"/>
      <c r="K2208" s="2"/>
      <c r="L2208" s="33"/>
      <c r="M2208" s="210" t="s">
        <v>450</v>
      </c>
      <c r="N2208" s="209" t="s">
        <v>431</v>
      </c>
      <c r="O2208" s="209" t="s">
        <v>51</v>
      </c>
      <c r="P2208" s="18"/>
      <c r="Q2208" s="73">
        <f t="shared" si="139"/>
        <v>0</v>
      </c>
      <c r="R2208" s="73">
        <f t="shared" si="139"/>
        <v>0</v>
      </c>
      <c r="S2208" s="73">
        <f t="shared" si="139"/>
        <v>0</v>
      </c>
      <c r="T2208" s="73">
        <f t="shared" si="139"/>
        <v>0</v>
      </c>
      <c r="U2208" s="73">
        <f t="shared" si="139"/>
        <v>0</v>
      </c>
      <c r="V2208" s="74"/>
      <c r="W2208" s="224">
        <f t="shared" si="140"/>
        <v>0</v>
      </c>
      <c r="X2208" s="75">
        <f t="shared" si="141"/>
        <v>0</v>
      </c>
      <c r="Y2208" s="75">
        <f t="shared" si="142"/>
        <v>0</v>
      </c>
      <c r="Z2208" s="76" t="e">
        <f t="shared" si="143"/>
        <v>#DIV/0!</v>
      </c>
    </row>
    <row r="2209" spans="7:26">
      <c r="G2209" s="9"/>
      <c r="H2209" s="2"/>
      <c r="I2209" s="2"/>
      <c r="J2209" s="2"/>
      <c r="K2209" s="2"/>
      <c r="L2209" s="33"/>
      <c r="M2209" s="210" t="s">
        <v>2657</v>
      </c>
      <c r="N2209" s="209" t="s">
        <v>436</v>
      </c>
      <c r="O2209" s="209" t="s">
        <v>51</v>
      </c>
      <c r="P2209" s="18"/>
      <c r="Q2209" s="73">
        <f t="shared" si="139"/>
        <v>0</v>
      </c>
      <c r="R2209" s="73">
        <f t="shared" si="139"/>
        <v>0</v>
      </c>
      <c r="S2209" s="73">
        <f t="shared" si="139"/>
        <v>0</v>
      </c>
      <c r="T2209" s="73">
        <f t="shared" si="139"/>
        <v>0</v>
      </c>
      <c r="U2209" s="73">
        <f t="shared" si="139"/>
        <v>0</v>
      </c>
      <c r="V2209" s="74"/>
      <c r="W2209" s="224">
        <f t="shared" si="140"/>
        <v>0</v>
      </c>
      <c r="X2209" s="75">
        <f t="shared" si="141"/>
        <v>0</v>
      </c>
      <c r="Y2209" s="75">
        <f t="shared" si="142"/>
        <v>0</v>
      </c>
      <c r="Z2209" s="76" t="e">
        <f>X2209/Y2209</f>
        <v>#DIV/0!</v>
      </c>
    </row>
    <row r="2210" spans="7:26">
      <c r="G2210" s="9"/>
      <c r="H2210" s="2"/>
      <c r="I2210" s="2"/>
      <c r="J2210" s="2"/>
      <c r="K2210" s="2"/>
      <c r="L2210" s="33"/>
      <c r="M2210" s="210" t="s">
        <v>449</v>
      </c>
      <c r="N2210" s="209" t="s">
        <v>70</v>
      </c>
      <c r="O2210" s="209" t="s">
        <v>51</v>
      </c>
      <c r="P2210" s="18"/>
      <c r="Q2210" s="73">
        <f t="shared" si="139"/>
        <v>0</v>
      </c>
      <c r="R2210" s="73">
        <f t="shared" si="139"/>
        <v>0</v>
      </c>
      <c r="S2210" s="73">
        <f t="shared" si="139"/>
        <v>0</v>
      </c>
      <c r="T2210" s="73">
        <f t="shared" si="139"/>
        <v>0</v>
      </c>
      <c r="U2210" s="73">
        <f t="shared" si="139"/>
        <v>0</v>
      </c>
      <c r="V2210" s="74"/>
      <c r="W2210" s="224">
        <f t="shared" si="140"/>
        <v>0</v>
      </c>
      <c r="X2210" s="75">
        <f t="shared" si="141"/>
        <v>0</v>
      </c>
      <c r="Y2210" s="75">
        <f t="shared" si="142"/>
        <v>0</v>
      </c>
      <c r="Z2210" s="76" t="e">
        <f t="shared" si="143"/>
        <v>#DIV/0!</v>
      </c>
    </row>
    <row r="2211" spans="7:26" ht="13">
      <c r="G2211" s="10"/>
      <c r="H2211" s="11"/>
      <c r="I2211" s="11"/>
      <c r="J2211" s="11"/>
      <c r="K2211" s="11"/>
      <c r="L2211" s="11"/>
      <c r="M2211" s="11"/>
      <c r="N2211" s="11"/>
      <c r="O2211" s="12"/>
      <c r="P2211" s="11"/>
      <c r="Q2211" s="38">
        <f>SUM(Q2189:Q2210)</f>
        <v>398959390</v>
      </c>
      <c r="R2211" s="38">
        <f>SUM(R2189:R2210)</f>
        <v>375218836</v>
      </c>
      <c r="S2211" s="38">
        <f>SUM(S2189:S2210)</f>
        <v>443996541</v>
      </c>
      <c r="T2211" s="38">
        <f>SUM(T2189:T2210)</f>
        <v>412939578</v>
      </c>
      <c r="U2211" s="39">
        <f>SUM(U2189:U2210)</f>
        <v>49373280.31499999</v>
      </c>
      <c r="V2211" s="77"/>
      <c r="W2211" s="77"/>
      <c r="X2211" s="78"/>
      <c r="Y2211" s="78"/>
      <c r="Z2211" s="79"/>
    </row>
    <row r="2213" spans="7:26">
      <c r="Q2213" s="14"/>
      <c r="R2213" s="14"/>
      <c r="S2213" s="14"/>
      <c r="T2213" s="14"/>
      <c r="U2213" s="14"/>
      <c r="X2213" s="14"/>
      <c r="Y2213" s="14"/>
      <c r="Z2213" s="1"/>
    </row>
    <row r="2214" spans="7:26">
      <c r="G2214" s="5" t="s">
        <v>136</v>
      </c>
      <c r="H2214" s="6" t="s">
        <v>406</v>
      </c>
      <c r="I2214" s="6"/>
      <c r="J2214" s="6"/>
      <c r="K2214" s="6"/>
      <c r="L2214" s="213"/>
      <c r="M2214" s="214" t="s">
        <v>400</v>
      </c>
      <c r="N2214" s="215" t="s">
        <v>45</v>
      </c>
      <c r="O2214" s="215" t="s">
        <v>46</v>
      </c>
      <c r="P2214" s="6"/>
      <c r="Q2214" s="69">
        <f t="shared" ref="Q2214:U2226" si="144">SUMIFS(Q$7:Q$2081,$K$7:$K$2081, "&lt;4",$G$7:$G$2081,$G$2214,$N$7:$N$2081,$N2214)</f>
        <v>0</v>
      </c>
      <c r="R2214" s="69">
        <f t="shared" si="144"/>
        <v>0</v>
      </c>
      <c r="S2214" s="69">
        <f t="shared" si="144"/>
        <v>0</v>
      </c>
      <c r="T2214" s="69">
        <f t="shared" si="144"/>
        <v>0</v>
      </c>
      <c r="U2214" s="69">
        <f t="shared" si="144"/>
        <v>0</v>
      </c>
      <c r="V2214" s="70"/>
      <c r="W2214" s="223">
        <f t="shared" ref="W2214:W2226" si="145">SUMIFS(T$7:T$2081,$K$7:$K$2081, "&lt;4",$G$7:$G$2081,$G$2214,$N$7:$N$2081,$N2214, $W$7:$W$2081, "=x")</f>
        <v>0</v>
      </c>
      <c r="X2214" s="71">
        <f t="shared" ref="X2214:X2225" si="146">SUMIFS(T$7:T$2081,U$7:U$2081, "&gt;0",$K$7:$K$2081, "&lt;4",$G$7:$G$2081,$G$2214,$N$7:$N$2081,$N2214)</f>
        <v>0</v>
      </c>
      <c r="Y2214" s="71">
        <f t="shared" ref="Y2214:Y2225" si="147">SUMIFS(U$7:U$2081,U$7:U$2081, "&gt;0",$K$7:$K$2081, "&lt;4",$G$7:$G$2081,$G$2214,$N$7:$N$2081,$N2214)</f>
        <v>0</v>
      </c>
      <c r="Z2214" s="72" t="e">
        <f t="shared" ref="Z2214:Z2226" si="148">X2214/Y2214</f>
        <v>#DIV/0!</v>
      </c>
    </row>
    <row r="2215" spans="7:26">
      <c r="G2215" s="9"/>
      <c r="H2215" s="2"/>
      <c r="I2215" s="2"/>
      <c r="J2215" s="2"/>
      <c r="K2215" s="2"/>
      <c r="L2215" s="145"/>
      <c r="M2215" s="169" t="s">
        <v>401</v>
      </c>
      <c r="N2215" s="170" t="s">
        <v>50</v>
      </c>
      <c r="O2215" s="170" t="s">
        <v>46</v>
      </c>
      <c r="P2215" s="2"/>
      <c r="Q2215" s="73">
        <f t="shared" si="144"/>
        <v>0</v>
      </c>
      <c r="R2215" s="73">
        <f t="shared" si="144"/>
        <v>0</v>
      </c>
      <c r="S2215" s="73">
        <f t="shared" si="144"/>
        <v>0</v>
      </c>
      <c r="T2215" s="73">
        <f t="shared" si="144"/>
        <v>0</v>
      </c>
      <c r="U2215" s="73">
        <f t="shared" si="144"/>
        <v>0</v>
      </c>
      <c r="V2215" s="74"/>
      <c r="W2215" s="224">
        <f t="shared" si="145"/>
        <v>0</v>
      </c>
      <c r="X2215" s="75">
        <f t="shared" si="146"/>
        <v>0</v>
      </c>
      <c r="Y2215" s="75">
        <f t="shared" si="147"/>
        <v>0</v>
      </c>
      <c r="Z2215" s="76" t="e">
        <f t="shared" si="148"/>
        <v>#DIV/0!</v>
      </c>
    </row>
    <row r="2216" spans="7:26">
      <c r="G2216" s="9"/>
      <c r="H2216" s="2"/>
      <c r="I2216" s="2"/>
      <c r="J2216" s="2"/>
      <c r="K2216" s="2"/>
      <c r="L2216" s="145"/>
      <c r="M2216" s="169" t="s">
        <v>389</v>
      </c>
      <c r="N2216" s="170" t="s">
        <v>48</v>
      </c>
      <c r="O2216" s="170" t="s">
        <v>48</v>
      </c>
      <c r="P2216" s="2"/>
      <c r="Q2216" s="73">
        <f t="shared" si="144"/>
        <v>13467</v>
      </c>
      <c r="R2216" s="73">
        <f t="shared" si="144"/>
        <v>13467</v>
      </c>
      <c r="S2216" s="73">
        <f t="shared" si="144"/>
        <v>78033</v>
      </c>
      <c r="T2216" s="224">
        <f t="shared" si="144"/>
        <v>78033</v>
      </c>
      <c r="U2216" s="73">
        <f t="shared" si="144"/>
        <v>8713.8590000000004</v>
      </c>
      <c r="V2216" s="74"/>
      <c r="W2216" s="224">
        <f t="shared" si="145"/>
        <v>76901</v>
      </c>
      <c r="X2216" s="75">
        <f t="shared" si="146"/>
        <v>78033</v>
      </c>
      <c r="Y2216" s="75">
        <f t="shared" si="147"/>
        <v>8713.8590000000004</v>
      </c>
      <c r="Z2216" s="76">
        <f t="shared" si="148"/>
        <v>8.9550450609770014</v>
      </c>
    </row>
    <row r="2217" spans="7:26">
      <c r="G2217" s="9"/>
      <c r="H2217" s="2"/>
      <c r="I2217" s="2"/>
      <c r="J2217" s="2"/>
      <c r="K2217" s="2"/>
      <c r="L2217" s="145"/>
      <c r="M2217" s="169" t="s">
        <v>388</v>
      </c>
      <c r="N2217" s="170" t="s">
        <v>41</v>
      </c>
      <c r="O2217" s="170" t="s">
        <v>41</v>
      </c>
      <c r="P2217" s="2"/>
      <c r="Q2217" s="73">
        <f t="shared" si="144"/>
        <v>51551190</v>
      </c>
      <c r="R2217" s="73">
        <f t="shared" si="144"/>
        <v>51551190</v>
      </c>
      <c r="S2217" s="73">
        <f t="shared" si="144"/>
        <v>53023080</v>
      </c>
      <c r="T2217" s="224">
        <f t="shared" si="144"/>
        <v>53023080</v>
      </c>
      <c r="U2217" s="73">
        <f t="shared" si="144"/>
        <v>6948002.1390000004</v>
      </c>
      <c r="V2217" s="74"/>
      <c r="W2217" s="224">
        <f t="shared" si="145"/>
        <v>53023080</v>
      </c>
      <c r="X2217" s="75">
        <f t="shared" si="146"/>
        <v>53023080</v>
      </c>
      <c r="Y2217" s="75">
        <f t="shared" si="147"/>
        <v>6948002.1390000004</v>
      </c>
      <c r="Z2217" s="76">
        <f t="shared" si="148"/>
        <v>7.631413885493048</v>
      </c>
    </row>
    <row r="2218" spans="7:26">
      <c r="G2218" s="9"/>
      <c r="H2218" s="2"/>
      <c r="I2218" s="2"/>
      <c r="J2218" s="2"/>
      <c r="K2218" s="2"/>
      <c r="L2218" s="145"/>
      <c r="M2218" s="169" t="s">
        <v>402</v>
      </c>
      <c r="N2218" s="170" t="s">
        <v>19</v>
      </c>
      <c r="O2218" s="170" t="s">
        <v>84</v>
      </c>
      <c r="P2218" s="2"/>
      <c r="Q2218" s="73">
        <f t="shared" si="144"/>
        <v>0</v>
      </c>
      <c r="R2218" s="73">
        <f t="shared" si="144"/>
        <v>0</v>
      </c>
      <c r="S2218" s="73">
        <f t="shared" si="144"/>
        <v>0</v>
      </c>
      <c r="T2218" s="73">
        <f t="shared" si="144"/>
        <v>0</v>
      </c>
      <c r="U2218" s="73">
        <f t="shared" si="144"/>
        <v>0</v>
      </c>
      <c r="V2218" s="74"/>
      <c r="W2218" s="224">
        <f t="shared" si="145"/>
        <v>0</v>
      </c>
      <c r="X2218" s="75">
        <f t="shared" si="146"/>
        <v>0</v>
      </c>
      <c r="Y2218" s="75">
        <f t="shared" si="147"/>
        <v>0</v>
      </c>
      <c r="Z2218" s="76" t="e">
        <f t="shared" si="148"/>
        <v>#DIV/0!</v>
      </c>
    </row>
    <row r="2219" spans="7:26">
      <c r="G2219" s="9"/>
      <c r="H2219" s="2"/>
      <c r="I2219" s="2"/>
      <c r="J2219" s="2"/>
      <c r="K2219" s="2"/>
      <c r="L2219" s="145"/>
      <c r="M2219" s="169" t="s">
        <v>403</v>
      </c>
      <c r="N2219" s="170" t="s">
        <v>84</v>
      </c>
      <c r="O2219" s="170" t="s">
        <v>84</v>
      </c>
      <c r="P2219" s="2"/>
      <c r="Q2219" s="73">
        <f t="shared" si="144"/>
        <v>0</v>
      </c>
      <c r="R2219" s="73">
        <f t="shared" si="144"/>
        <v>0</v>
      </c>
      <c r="S2219" s="73">
        <f t="shared" si="144"/>
        <v>0</v>
      </c>
      <c r="T2219" s="73">
        <f t="shared" si="144"/>
        <v>0</v>
      </c>
      <c r="U2219" s="73">
        <f t="shared" si="144"/>
        <v>0</v>
      </c>
      <c r="V2219" s="74"/>
      <c r="W2219" s="224">
        <f t="shared" si="145"/>
        <v>0</v>
      </c>
      <c r="X2219" s="75">
        <f t="shared" si="146"/>
        <v>0</v>
      </c>
      <c r="Y2219" s="75">
        <f t="shared" si="147"/>
        <v>0</v>
      </c>
      <c r="Z2219" s="76" t="e">
        <f t="shared" si="148"/>
        <v>#DIV/0!</v>
      </c>
    </row>
    <row r="2220" spans="7:26">
      <c r="G2220" s="9"/>
      <c r="H2220" s="2"/>
      <c r="I2220" s="2"/>
      <c r="J2220" s="2"/>
      <c r="K2220" s="2"/>
      <c r="L2220" s="145"/>
      <c r="M2220" s="169" t="s">
        <v>398</v>
      </c>
      <c r="N2220" s="209" t="s">
        <v>410</v>
      </c>
      <c r="O2220" s="209" t="s">
        <v>84</v>
      </c>
      <c r="P2220" s="2"/>
      <c r="Q2220" s="73">
        <f t="shared" si="144"/>
        <v>0</v>
      </c>
      <c r="R2220" s="73">
        <f t="shared" si="144"/>
        <v>0</v>
      </c>
      <c r="S2220" s="73">
        <f t="shared" si="144"/>
        <v>0</v>
      </c>
      <c r="T2220" s="73">
        <f t="shared" si="144"/>
        <v>0</v>
      </c>
      <c r="U2220" s="73">
        <f t="shared" si="144"/>
        <v>0</v>
      </c>
      <c r="V2220" s="74"/>
      <c r="W2220" s="224">
        <f t="shared" si="145"/>
        <v>0</v>
      </c>
      <c r="X2220" s="75">
        <f t="shared" si="146"/>
        <v>0</v>
      </c>
      <c r="Y2220" s="75">
        <f t="shared" si="147"/>
        <v>0</v>
      </c>
      <c r="Z2220" s="76" t="e">
        <f t="shared" si="148"/>
        <v>#DIV/0!</v>
      </c>
    </row>
    <row r="2221" spans="7:26">
      <c r="G2221" s="9"/>
      <c r="H2221" s="2"/>
      <c r="I2221" s="2"/>
      <c r="J2221" s="2"/>
      <c r="K2221" s="2"/>
      <c r="L2221" s="145"/>
      <c r="M2221" s="169" t="s">
        <v>391</v>
      </c>
      <c r="N2221" s="170" t="s">
        <v>67</v>
      </c>
      <c r="O2221" s="170" t="s">
        <v>67</v>
      </c>
      <c r="P2221" s="2"/>
      <c r="Q2221" s="73">
        <f t="shared" si="144"/>
        <v>0</v>
      </c>
      <c r="R2221" s="73">
        <f t="shared" si="144"/>
        <v>0</v>
      </c>
      <c r="S2221" s="73">
        <f t="shared" si="144"/>
        <v>0</v>
      </c>
      <c r="T2221" s="73">
        <f t="shared" si="144"/>
        <v>0</v>
      </c>
      <c r="U2221" s="73">
        <f t="shared" si="144"/>
        <v>0</v>
      </c>
      <c r="V2221" s="74"/>
      <c r="W2221" s="224">
        <f t="shared" si="145"/>
        <v>0</v>
      </c>
      <c r="X2221" s="75">
        <f t="shared" si="146"/>
        <v>0</v>
      </c>
      <c r="Y2221" s="75">
        <f t="shared" si="147"/>
        <v>0</v>
      </c>
      <c r="Z2221" s="76" t="e">
        <f t="shared" si="148"/>
        <v>#DIV/0!</v>
      </c>
    </row>
    <row r="2222" spans="7:26">
      <c r="G2222" s="9"/>
      <c r="H2222" s="2"/>
      <c r="I2222" s="2"/>
      <c r="J2222" s="2"/>
      <c r="K2222" s="2"/>
      <c r="L2222" s="145"/>
      <c r="M2222" s="169" t="s">
        <v>390</v>
      </c>
      <c r="N2222" s="170" t="s">
        <v>63</v>
      </c>
      <c r="O2222" s="170" t="s">
        <v>63</v>
      </c>
      <c r="P2222" s="2"/>
      <c r="Q2222" s="73">
        <f t="shared" si="144"/>
        <v>0</v>
      </c>
      <c r="R2222" s="73">
        <f t="shared" si="144"/>
        <v>0</v>
      </c>
      <c r="S2222" s="73">
        <f t="shared" si="144"/>
        <v>0</v>
      </c>
      <c r="T2222" s="73">
        <f t="shared" si="144"/>
        <v>0</v>
      </c>
      <c r="U2222" s="73">
        <f t="shared" si="144"/>
        <v>0</v>
      </c>
      <c r="V2222" s="74"/>
      <c r="W2222" s="224">
        <f t="shared" si="145"/>
        <v>0</v>
      </c>
      <c r="X2222" s="75">
        <f t="shared" si="146"/>
        <v>0</v>
      </c>
      <c r="Y2222" s="75">
        <f t="shared" si="147"/>
        <v>0</v>
      </c>
      <c r="Z2222" s="76" t="e">
        <f t="shared" si="148"/>
        <v>#DIV/0!</v>
      </c>
    </row>
    <row r="2223" spans="7:26">
      <c r="G2223" s="9"/>
      <c r="H2223" s="2"/>
      <c r="I2223" s="2"/>
      <c r="J2223" s="2"/>
      <c r="K2223" s="2"/>
      <c r="L2223" s="145"/>
      <c r="M2223" s="169" t="s">
        <v>392</v>
      </c>
      <c r="N2223" s="209" t="s">
        <v>68</v>
      </c>
      <c r="O2223" s="170" t="s">
        <v>69</v>
      </c>
      <c r="P2223" s="2"/>
      <c r="Q2223" s="73">
        <f t="shared" si="144"/>
        <v>0</v>
      </c>
      <c r="R2223" s="73">
        <f t="shared" si="144"/>
        <v>0</v>
      </c>
      <c r="S2223" s="73">
        <f t="shared" si="144"/>
        <v>0</v>
      </c>
      <c r="T2223" s="73">
        <f t="shared" si="144"/>
        <v>0</v>
      </c>
      <c r="U2223" s="73">
        <f t="shared" si="144"/>
        <v>0</v>
      </c>
      <c r="V2223" s="74"/>
      <c r="W2223" s="224">
        <f t="shared" si="145"/>
        <v>0</v>
      </c>
      <c r="X2223" s="75">
        <f t="shared" si="146"/>
        <v>0</v>
      </c>
      <c r="Y2223" s="75">
        <f t="shared" si="147"/>
        <v>0</v>
      </c>
      <c r="Z2223" s="76" t="e">
        <f t="shared" si="148"/>
        <v>#DIV/0!</v>
      </c>
    </row>
    <row r="2224" spans="7:26">
      <c r="G2224" s="9"/>
      <c r="H2224" s="2"/>
      <c r="I2224" s="2"/>
      <c r="J2224" s="2"/>
      <c r="K2224" s="2"/>
      <c r="L2224" s="145"/>
      <c r="M2224" s="169" t="s">
        <v>393</v>
      </c>
      <c r="N2224" s="209" t="s">
        <v>78</v>
      </c>
      <c r="O2224" s="209" t="s">
        <v>69</v>
      </c>
      <c r="P2224" s="2"/>
      <c r="Q2224" s="73">
        <f t="shared" si="144"/>
        <v>0</v>
      </c>
      <c r="R2224" s="73">
        <f t="shared" si="144"/>
        <v>0</v>
      </c>
      <c r="S2224" s="73">
        <f t="shared" si="144"/>
        <v>0</v>
      </c>
      <c r="T2224" s="73">
        <f t="shared" si="144"/>
        <v>0</v>
      </c>
      <c r="U2224" s="73">
        <f t="shared" si="144"/>
        <v>0</v>
      </c>
      <c r="V2224" s="74"/>
      <c r="W2224" s="224">
        <f t="shared" si="145"/>
        <v>0</v>
      </c>
      <c r="X2224" s="75">
        <f t="shared" si="146"/>
        <v>0</v>
      </c>
      <c r="Y2224" s="75">
        <f t="shared" si="147"/>
        <v>0</v>
      </c>
      <c r="Z2224" s="76" t="e">
        <f t="shared" si="148"/>
        <v>#DIV/0!</v>
      </c>
    </row>
    <row r="2225" spans="7:26">
      <c r="G2225" s="9"/>
      <c r="H2225" s="2"/>
      <c r="I2225" s="2"/>
      <c r="J2225" s="2"/>
      <c r="K2225" s="2"/>
      <c r="L2225" s="145"/>
      <c r="M2225" s="169" t="s">
        <v>394</v>
      </c>
      <c r="N2225" s="209" t="s">
        <v>75</v>
      </c>
      <c r="O2225" s="209" t="s">
        <v>69</v>
      </c>
      <c r="P2225" s="2"/>
      <c r="Q2225" s="73">
        <f t="shared" si="144"/>
        <v>0</v>
      </c>
      <c r="R2225" s="73">
        <f t="shared" si="144"/>
        <v>0</v>
      </c>
      <c r="S2225" s="73">
        <f t="shared" si="144"/>
        <v>0</v>
      </c>
      <c r="T2225" s="73">
        <f t="shared" si="144"/>
        <v>0</v>
      </c>
      <c r="U2225" s="73">
        <f t="shared" si="144"/>
        <v>0</v>
      </c>
      <c r="V2225" s="74"/>
      <c r="W2225" s="224">
        <f t="shared" si="145"/>
        <v>0</v>
      </c>
      <c r="X2225" s="75">
        <f t="shared" si="146"/>
        <v>0</v>
      </c>
      <c r="Y2225" s="75">
        <f t="shared" si="147"/>
        <v>0</v>
      </c>
      <c r="Z2225" s="76" t="e">
        <f t="shared" si="148"/>
        <v>#DIV/0!</v>
      </c>
    </row>
    <row r="2226" spans="7:26">
      <c r="G2226" s="9"/>
      <c r="H2226" s="2"/>
      <c r="I2226" s="2"/>
      <c r="J2226" s="2"/>
      <c r="K2226" s="2"/>
      <c r="L2226" s="33"/>
      <c r="M2226" s="210" t="s">
        <v>448</v>
      </c>
      <c r="N2226" s="209" t="s">
        <v>439</v>
      </c>
      <c r="O2226" s="209" t="s">
        <v>440</v>
      </c>
      <c r="P2226" s="18"/>
      <c r="Q2226" s="73">
        <f t="shared" si="144"/>
        <v>0</v>
      </c>
      <c r="R2226" s="73">
        <f t="shared" si="144"/>
        <v>0</v>
      </c>
      <c r="S2226" s="73">
        <f t="shared" si="144"/>
        <v>0</v>
      </c>
      <c r="T2226" s="73">
        <f t="shared" si="144"/>
        <v>0</v>
      </c>
      <c r="U2226" s="73">
        <f t="shared" si="144"/>
        <v>0</v>
      </c>
      <c r="V2226" s="74"/>
      <c r="W2226" s="224">
        <f t="shared" si="145"/>
        <v>0</v>
      </c>
      <c r="X2226" s="75">
        <f>SUMIFS(T$7:T$2081,U$7:U$2081, "&gt;0",$K$7:$K$2081, "&lt;4",$G$7:$G$2081,$G$2139,$N$7:$N$2081,$N2226)</f>
        <v>1198</v>
      </c>
      <c r="Y2226" s="75">
        <f>SUMIFS(U$7:U$2081,U$7:U$2081, "&gt;0",$K$7:$K$2081, "&lt;4",$G$7:$G$2081,$G$2139,$N$7:$N$2081,$N2226)</f>
        <v>66.295999999999992</v>
      </c>
      <c r="Z2226" s="76">
        <f t="shared" si="148"/>
        <v>18.070471823337758</v>
      </c>
    </row>
    <row r="2227" spans="7:26">
      <c r="G2227" s="9"/>
      <c r="H2227" s="2"/>
      <c r="I2227" s="2"/>
      <c r="J2227" s="2"/>
      <c r="K2227" s="2"/>
      <c r="L2227" s="145"/>
      <c r="M2227" s="145"/>
      <c r="N2227" s="145"/>
      <c r="O2227" s="145"/>
      <c r="P2227" s="2"/>
      <c r="Q2227" s="2"/>
      <c r="R2227" s="2"/>
      <c r="S2227" s="2"/>
      <c r="T2227" s="2"/>
      <c r="U2227" s="2"/>
      <c r="V2227" s="2"/>
      <c r="W2227" s="2"/>
      <c r="X2227" s="2"/>
      <c r="Y2227" s="2"/>
      <c r="Z2227" s="80"/>
    </row>
    <row r="2228" spans="7:26">
      <c r="G2228" s="9"/>
      <c r="H2228" s="2" t="s">
        <v>405</v>
      </c>
      <c r="I2228" s="2"/>
      <c r="J2228" s="2"/>
      <c r="K2228" s="2"/>
      <c r="L2228" s="145"/>
      <c r="M2228" s="169" t="s">
        <v>396</v>
      </c>
      <c r="N2228" s="170" t="s">
        <v>65</v>
      </c>
      <c r="O2228" s="170" t="s">
        <v>66</v>
      </c>
      <c r="P2228" s="2"/>
      <c r="Q2228" s="73">
        <f t="shared" ref="Q2228:U2235" si="149">SUMIFS(Q$7:Q$2081,$K$7:$K$2081, "&lt;4",$G$7:$G$2081,$G$2214,$N$7:$N$2081,$N2228)</f>
        <v>4228754</v>
      </c>
      <c r="R2228" s="73">
        <f t="shared" si="149"/>
        <v>4228754</v>
      </c>
      <c r="S2228" s="73">
        <f t="shared" si="149"/>
        <v>2035827</v>
      </c>
      <c r="T2228" s="73">
        <f t="shared" si="149"/>
        <v>2035827</v>
      </c>
      <c r="U2228" s="73">
        <f t="shared" si="149"/>
        <v>207796.49</v>
      </c>
      <c r="V2228" s="74"/>
      <c r="W2228" s="224">
        <f t="shared" ref="W2228:W2235" si="150">SUMIFS(T$7:T$2081,$K$7:$K$2081, "&lt;4",$G$7:$G$2081,$G$2214,$N$7:$N$2081,$N2228, $W$7:$W$2081, "=x")</f>
        <v>0</v>
      </c>
      <c r="X2228" s="75">
        <f t="shared" ref="X2228:X2235" si="151">SUMIFS(T$7:T$2081,U$7:U$2081, "&gt;0",$K$7:$K$2081, "&lt;4",$G$7:$G$2081,$G$2214,$N$7:$N$2081,$N2228)</f>
        <v>2035827</v>
      </c>
      <c r="Y2228" s="75">
        <f t="shared" ref="Y2228:Y2235" si="152">SUMIFS(U$7:U$2081,U$7:U$2081, "&gt;0",$K$7:$K$2081, "&lt;4",$G$7:$G$2081,$G$2214,$N$7:$N$2081,$N2228)</f>
        <v>207796.49</v>
      </c>
      <c r="Z2228" s="76">
        <f t="shared" ref="Z2228:Z2235" si="153">X2228/Y2228</f>
        <v>9.7972155352575978</v>
      </c>
    </row>
    <row r="2229" spans="7:26">
      <c r="G2229" s="9"/>
      <c r="H2229" s="2"/>
      <c r="I2229" s="2"/>
      <c r="J2229" s="2"/>
      <c r="K2229" s="2"/>
      <c r="L2229" s="145"/>
      <c r="M2229" s="169" t="s">
        <v>399</v>
      </c>
      <c r="N2229" s="170" t="s">
        <v>18</v>
      </c>
      <c r="O2229" s="170" t="s">
        <v>66</v>
      </c>
      <c r="P2229" s="2"/>
      <c r="Q2229" s="73">
        <f t="shared" si="149"/>
        <v>0</v>
      </c>
      <c r="R2229" s="73">
        <f t="shared" si="149"/>
        <v>0</v>
      </c>
      <c r="S2229" s="73">
        <f t="shared" si="149"/>
        <v>0</v>
      </c>
      <c r="T2229" s="73">
        <f t="shared" si="149"/>
        <v>0</v>
      </c>
      <c r="U2229" s="73">
        <f t="shared" si="149"/>
        <v>0</v>
      </c>
      <c r="V2229" s="74"/>
      <c r="W2229" s="224">
        <f t="shared" si="150"/>
        <v>0</v>
      </c>
      <c r="X2229" s="75">
        <f t="shared" si="151"/>
        <v>0</v>
      </c>
      <c r="Y2229" s="75">
        <f t="shared" si="152"/>
        <v>0</v>
      </c>
      <c r="Z2229" s="76" t="e">
        <f t="shared" si="153"/>
        <v>#DIV/0!</v>
      </c>
    </row>
    <row r="2230" spans="7:26">
      <c r="G2230" s="9"/>
      <c r="H2230" s="2"/>
      <c r="I2230" s="2"/>
      <c r="J2230" s="2"/>
      <c r="K2230" s="2"/>
      <c r="L2230" s="145"/>
      <c r="M2230" s="169" t="s">
        <v>395</v>
      </c>
      <c r="N2230" s="209" t="s">
        <v>159</v>
      </c>
      <c r="O2230" s="209" t="s">
        <v>72</v>
      </c>
      <c r="P2230" s="2"/>
      <c r="Q2230" s="73">
        <f t="shared" si="149"/>
        <v>0</v>
      </c>
      <c r="R2230" s="73">
        <f t="shared" si="149"/>
        <v>0</v>
      </c>
      <c r="S2230" s="73">
        <f t="shared" si="149"/>
        <v>0</v>
      </c>
      <c r="T2230" s="73">
        <f t="shared" si="149"/>
        <v>0</v>
      </c>
      <c r="U2230" s="73">
        <f t="shared" si="149"/>
        <v>0</v>
      </c>
      <c r="V2230" s="74"/>
      <c r="W2230" s="224">
        <f t="shared" si="150"/>
        <v>0</v>
      </c>
      <c r="X2230" s="75">
        <f t="shared" si="151"/>
        <v>0</v>
      </c>
      <c r="Y2230" s="75">
        <f t="shared" si="152"/>
        <v>0</v>
      </c>
      <c r="Z2230" s="76" t="e">
        <f t="shared" si="153"/>
        <v>#DIV/0!</v>
      </c>
    </row>
    <row r="2231" spans="7:26">
      <c r="G2231" s="9"/>
      <c r="H2231" s="2"/>
      <c r="I2231" s="2"/>
      <c r="J2231" s="2"/>
      <c r="K2231" s="2"/>
      <c r="L2231" s="145"/>
      <c r="M2231" s="169" t="s">
        <v>404</v>
      </c>
      <c r="N2231" s="209" t="s">
        <v>71</v>
      </c>
      <c r="O2231" s="209" t="s">
        <v>72</v>
      </c>
      <c r="P2231" s="2"/>
      <c r="Q2231" s="73">
        <f t="shared" si="149"/>
        <v>0</v>
      </c>
      <c r="R2231" s="73">
        <f t="shared" si="149"/>
        <v>0</v>
      </c>
      <c r="S2231" s="73">
        <f t="shared" si="149"/>
        <v>0</v>
      </c>
      <c r="T2231" s="73">
        <f t="shared" si="149"/>
        <v>0</v>
      </c>
      <c r="U2231" s="73">
        <f t="shared" si="149"/>
        <v>0</v>
      </c>
      <c r="V2231" s="74"/>
      <c r="W2231" s="224">
        <f t="shared" si="150"/>
        <v>0</v>
      </c>
      <c r="X2231" s="75">
        <f t="shared" si="151"/>
        <v>0</v>
      </c>
      <c r="Y2231" s="75">
        <f t="shared" si="152"/>
        <v>0</v>
      </c>
      <c r="Z2231" s="76" t="e">
        <f t="shared" si="153"/>
        <v>#DIV/0!</v>
      </c>
    </row>
    <row r="2232" spans="7:26">
      <c r="G2232" s="9"/>
      <c r="H2232" s="2"/>
      <c r="I2232" s="2"/>
      <c r="J2232" s="2"/>
      <c r="K2232" s="2"/>
      <c r="L2232" s="145"/>
      <c r="M2232" s="169" t="s">
        <v>397</v>
      </c>
      <c r="N2232" s="170" t="s">
        <v>160</v>
      </c>
      <c r="O2232" s="170" t="s">
        <v>51</v>
      </c>
      <c r="P2232" s="2"/>
      <c r="Q2232" s="73">
        <f t="shared" si="149"/>
        <v>0</v>
      </c>
      <c r="R2232" s="73">
        <f t="shared" si="149"/>
        <v>0</v>
      </c>
      <c r="S2232" s="73">
        <f t="shared" si="149"/>
        <v>0</v>
      </c>
      <c r="T2232" s="73">
        <f t="shared" si="149"/>
        <v>0</v>
      </c>
      <c r="U2232" s="73">
        <f t="shared" si="149"/>
        <v>0</v>
      </c>
      <c r="V2232" s="74"/>
      <c r="W2232" s="224">
        <f t="shared" si="150"/>
        <v>0</v>
      </c>
      <c r="X2232" s="75">
        <f t="shared" si="151"/>
        <v>0</v>
      </c>
      <c r="Y2232" s="75">
        <f t="shared" si="152"/>
        <v>0</v>
      </c>
      <c r="Z2232" s="76" t="e">
        <f t="shared" si="153"/>
        <v>#DIV/0!</v>
      </c>
    </row>
    <row r="2233" spans="7:26">
      <c r="G2233" s="9"/>
      <c r="H2233" s="2"/>
      <c r="I2233" s="2"/>
      <c r="J2233" s="2"/>
      <c r="K2233" s="2"/>
      <c r="L2233" s="33"/>
      <c r="M2233" s="210" t="s">
        <v>450</v>
      </c>
      <c r="N2233" s="209" t="s">
        <v>431</v>
      </c>
      <c r="O2233" s="209" t="s">
        <v>51</v>
      </c>
      <c r="P2233" s="2"/>
      <c r="Q2233" s="73">
        <f t="shared" si="149"/>
        <v>0</v>
      </c>
      <c r="R2233" s="73">
        <f t="shared" si="149"/>
        <v>0</v>
      </c>
      <c r="S2233" s="73">
        <f t="shared" si="149"/>
        <v>0</v>
      </c>
      <c r="T2233" s="73">
        <f t="shared" si="149"/>
        <v>0</v>
      </c>
      <c r="U2233" s="73">
        <f t="shared" si="149"/>
        <v>0</v>
      </c>
      <c r="V2233" s="74"/>
      <c r="W2233" s="224">
        <f t="shared" si="150"/>
        <v>0</v>
      </c>
      <c r="X2233" s="75">
        <f t="shared" si="151"/>
        <v>0</v>
      </c>
      <c r="Y2233" s="75">
        <f t="shared" si="152"/>
        <v>0</v>
      </c>
      <c r="Z2233" s="76" t="e">
        <f t="shared" si="153"/>
        <v>#DIV/0!</v>
      </c>
    </row>
    <row r="2234" spans="7:26">
      <c r="G2234" s="9"/>
      <c r="H2234" s="2"/>
      <c r="I2234" s="2"/>
      <c r="J2234" s="2"/>
      <c r="K2234" s="2"/>
      <c r="L2234" s="33"/>
      <c r="M2234" s="210" t="s">
        <v>2657</v>
      </c>
      <c r="N2234" s="209" t="s">
        <v>436</v>
      </c>
      <c r="O2234" s="209" t="s">
        <v>51</v>
      </c>
      <c r="P2234" s="2"/>
      <c r="Q2234" s="73">
        <f t="shared" si="149"/>
        <v>0</v>
      </c>
      <c r="R2234" s="73">
        <f t="shared" si="149"/>
        <v>0</v>
      </c>
      <c r="S2234" s="73">
        <f t="shared" si="149"/>
        <v>0</v>
      </c>
      <c r="T2234" s="73">
        <f t="shared" si="149"/>
        <v>0</v>
      </c>
      <c r="U2234" s="73">
        <f t="shared" si="149"/>
        <v>0</v>
      </c>
      <c r="V2234" s="74"/>
      <c r="W2234" s="224">
        <f t="shared" si="150"/>
        <v>0</v>
      </c>
      <c r="X2234" s="75">
        <f t="shared" si="151"/>
        <v>0</v>
      </c>
      <c r="Y2234" s="75">
        <f t="shared" si="152"/>
        <v>0</v>
      </c>
      <c r="Z2234" s="76" t="e">
        <f t="shared" si="153"/>
        <v>#DIV/0!</v>
      </c>
    </row>
    <row r="2235" spans="7:26">
      <c r="G2235" s="9"/>
      <c r="H2235" s="2"/>
      <c r="I2235" s="2"/>
      <c r="J2235" s="2"/>
      <c r="K2235" s="2"/>
      <c r="L2235" s="33"/>
      <c r="M2235" s="210" t="s">
        <v>449</v>
      </c>
      <c r="N2235" s="209" t="s">
        <v>70</v>
      </c>
      <c r="O2235" s="209" t="s">
        <v>51</v>
      </c>
      <c r="P2235" s="2"/>
      <c r="Q2235" s="73">
        <f t="shared" si="149"/>
        <v>0</v>
      </c>
      <c r="R2235" s="73">
        <f t="shared" si="149"/>
        <v>0</v>
      </c>
      <c r="S2235" s="73">
        <f t="shared" si="149"/>
        <v>0</v>
      </c>
      <c r="T2235" s="73">
        <f t="shared" si="149"/>
        <v>0</v>
      </c>
      <c r="U2235" s="73">
        <f t="shared" si="149"/>
        <v>0</v>
      </c>
      <c r="V2235" s="74"/>
      <c r="W2235" s="224">
        <f t="shared" si="150"/>
        <v>0</v>
      </c>
      <c r="X2235" s="75">
        <f t="shared" si="151"/>
        <v>0</v>
      </c>
      <c r="Y2235" s="75">
        <f t="shared" si="152"/>
        <v>0</v>
      </c>
      <c r="Z2235" s="76" t="e">
        <f t="shared" si="153"/>
        <v>#DIV/0!</v>
      </c>
    </row>
    <row r="2236" spans="7:26" ht="13">
      <c r="G2236" s="10"/>
      <c r="H2236" s="11"/>
      <c r="I2236" s="11"/>
      <c r="J2236" s="11"/>
      <c r="K2236" s="11"/>
      <c r="L2236" s="11"/>
      <c r="M2236" s="11"/>
      <c r="N2236" s="11"/>
      <c r="O2236" s="12"/>
      <c r="P2236" s="11"/>
      <c r="Q2236" s="38">
        <f>SUM(Q2214:Q2235)</f>
        <v>55793411</v>
      </c>
      <c r="R2236" s="38">
        <f>SUM(R2214:R2235)</f>
        <v>55793411</v>
      </c>
      <c r="S2236" s="38">
        <f>SUM(S2214:S2235)</f>
        <v>55136940</v>
      </c>
      <c r="T2236" s="38">
        <f>SUM(T2214:T2235)</f>
        <v>55136940</v>
      </c>
      <c r="U2236" s="38">
        <f>SUM(U2214:U2235)</f>
        <v>7164512.4880000008</v>
      </c>
      <c r="V2236" s="77"/>
      <c r="W2236" s="77"/>
      <c r="X2236" s="78"/>
      <c r="Y2236" s="78"/>
      <c r="Z2236" s="79"/>
    </row>
    <row r="2238" spans="7:26">
      <c r="G2238" s="22"/>
      <c r="H2238" s="22"/>
      <c r="I2238" s="22"/>
      <c r="J2238" s="22"/>
      <c r="K2238" s="22"/>
      <c r="L2238" s="22"/>
      <c r="M2238" s="22"/>
      <c r="N2238" s="22"/>
      <c r="O2238" s="22"/>
      <c r="P2238" s="22"/>
      <c r="Q2238" s="24"/>
      <c r="R2238" s="24"/>
      <c r="S2238" s="24"/>
      <c r="T2238" s="24"/>
      <c r="U2238" s="24"/>
      <c r="X2238" s="14"/>
      <c r="Y2238" s="14"/>
      <c r="Z2238" s="23"/>
    </row>
    <row r="2239" spans="7:26">
      <c r="G2239" s="5" t="s">
        <v>91</v>
      </c>
      <c r="H2239" s="6" t="s">
        <v>406</v>
      </c>
      <c r="I2239" s="6"/>
      <c r="J2239" s="6"/>
      <c r="K2239" s="6"/>
      <c r="L2239" s="213"/>
      <c r="M2239" s="214" t="s">
        <v>400</v>
      </c>
      <c r="N2239" s="215" t="s">
        <v>45</v>
      </c>
      <c r="O2239" s="215" t="s">
        <v>46</v>
      </c>
      <c r="P2239" s="213"/>
      <c r="Q2239" s="69">
        <f t="shared" ref="Q2239:U2251" si="154">SUMIFS(Q$7:Q$2081,$K$7:$K$2081, "&lt;4",$G$7:$G$2081,$G$2239,$N$7:$N$2081,$N2239)</f>
        <v>0</v>
      </c>
      <c r="R2239" s="69">
        <f t="shared" si="154"/>
        <v>0</v>
      </c>
      <c r="S2239" s="69">
        <f t="shared" si="154"/>
        <v>0</v>
      </c>
      <c r="T2239" s="69">
        <f t="shared" si="154"/>
        <v>0</v>
      </c>
      <c r="U2239" s="69">
        <f t="shared" si="154"/>
        <v>0</v>
      </c>
      <c r="V2239" s="70"/>
      <c r="W2239" s="223">
        <f t="shared" ref="W2239:W2251" si="155">SUMIFS(T$7:T$2081,$K$7:$K$2081, "&lt;4",$G$7:$G$2081,$G$2239,$N$7:$N$2081,$N2239, $W$7:$W$2081, "=x")</f>
        <v>0</v>
      </c>
      <c r="X2239" s="71">
        <f t="shared" ref="X2239:X2250" si="156">SUMIFS(T$7:T$2081,U$7:U$2081, "&gt;0",$K$7:$K$2081, "&lt;4",$G$7:$G$2081,$G$2239,$N$7:$N$2081,$N2239)</f>
        <v>0</v>
      </c>
      <c r="Y2239" s="71">
        <f t="shared" ref="Y2239:Y2250" si="157">SUMIFS(U$7:U$2081,U$7:U$2081, "&gt;0",$K$7:$K$2081, "&lt;4",$G$7:$G$2081,$G$2239,$N$7:$N$2081,$N2239)</f>
        <v>0</v>
      </c>
      <c r="Z2239" s="72" t="e">
        <f t="shared" ref="Z2239:Z2251" si="158">X2239/Y2239</f>
        <v>#DIV/0!</v>
      </c>
    </row>
    <row r="2240" spans="7:26">
      <c r="G2240" s="9"/>
      <c r="H2240" s="2"/>
      <c r="I2240" s="2"/>
      <c r="J2240" s="2"/>
      <c r="K2240" s="2"/>
      <c r="L2240" s="145"/>
      <c r="M2240" s="169" t="s">
        <v>401</v>
      </c>
      <c r="N2240" s="170" t="s">
        <v>50</v>
      </c>
      <c r="O2240" s="170" t="s">
        <v>46</v>
      </c>
      <c r="P2240" s="145"/>
      <c r="Q2240" s="73">
        <f t="shared" si="154"/>
        <v>0</v>
      </c>
      <c r="R2240" s="73">
        <f t="shared" si="154"/>
        <v>0</v>
      </c>
      <c r="S2240" s="73">
        <f t="shared" si="154"/>
        <v>0</v>
      </c>
      <c r="T2240" s="73">
        <f t="shared" si="154"/>
        <v>0</v>
      </c>
      <c r="U2240" s="73">
        <f t="shared" si="154"/>
        <v>0</v>
      </c>
      <c r="V2240" s="74"/>
      <c r="W2240" s="224">
        <f t="shared" si="155"/>
        <v>0</v>
      </c>
      <c r="X2240" s="75">
        <f t="shared" si="156"/>
        <v>0</v>
      </c>
      <c r="Y2240" s="75">
        <f t="shared" si="157"/>
        <v>0</v>
      </c>
      <c r="Z2240" s="76" t="e">
        <f t="shared" si="158"/>
        <v>#DIV/0!</v>
      </c>
    </row>
    <row r="2241" spans="7:26">
      <c r="G2241" s="9"/>
      <c r="H2241" s="2"/>
      <c r="I2241" s="2"/>
      <c r="J2241" s="2"/>
      <c r="K2241" s="2"/>
      <c r="L2241" s="145"/>
      <c r="M2241" s="169" t="s">
        <v>389</v>
      </c>
      <c r="N2241" s="170" t="s">
        <v>48</v>
      </c>
      <c r="O2241" s="170" t="s">
        <v>48</v>
      </c>
      <c r="P2241" s="145"/>
      <c r="Q2241" s="73">
        <f t="shared" si="154"/>
        <v>3022</v>
      </c>
      <c r="R2241" s="73">
        <f t="shared" si="154"/>
        <v>3022</v>
      </c>
      <c r="S2241" s="73">
        <f t="shared" si="154"/>
        <v>17568</v>
      </c>
      <c r="T2241" s="224">
        <f t="shared" si="154"/>
        <v>17568</v>
      </c>
      <c r="U2241" s="73">
        <f t="shared" si="154"/>
        <v>744</v>
      </c>
      <c r="V2241" s="74"/>
      <c r="W2241" s="224">
        <f t="shared" si="155"/>
        <v>1507</v>
      </c>
      <c r="X2241" s="75">
        <f t="shared" si="156"/>
        <v>17568</v>
      </c>
      <c r="Y2241" s="75">
        <f t="shared" si="157"/>
        <v>744</v>
      </c>
      <c r="Z2241" s="76">
        <f t="shared" si="158"/>
        <v>23.612903225806452</v>
      </c>
    </row>
    <row r="2242" spans="7:26">
      <c r="G2242" s="9"/>
      <c r="H2242" s="2"/>
      <c r="I2242" s="2"/>
      <c r="J2242" s="2"/>
      <c r="K2242" s="2"/>
      <c r="L2242" s="145"/>
      <c r="M2242" s="169" t="s">
        <v>388</v>
      </c>
      <c r="N2242" s="170" t="s">
        <v>41</v>
      </c>
      <c r="O2242" s="170" t="s">
        <v>41</v>
      </c>
      <c r="P2242" s="145"/>
      <c r="Q2242" s="73">
        <f t="shared" si="154"/>
        <v>12401</v>
      </c>
      <c r="R2242" s="73">
        <f t="shared" si="154"/>
        <v>12401</v>
      </c>
      <c r="S2242" s="73">
        <f t="shared" si="154"/>
        <v>12840</v>
      </c>
      <c r="T2242" s="73">
        <f t="shared" si="154"/>
        <v>12840</v>
      </c>
      <c r="U2242" s="73">
        <f t="shared" si="154"/>
        <v>789.47199999999998</v>
      </c>
      <c r="V2242" s="74"/>
      <c r="W2242" s="224">
        <f t="shared" si="155"/>
        <v>0</v>
      </c>
      <c r="X2242" s="75">
        <f t="shared" si="156"/>
        <v>12840</v>
      </c>
      <c r="Y2242" s="75">
        <f t="shared" si="157"/>
        <v>789.47199999999998</v>
      </c>
      <c r="Z2242" s="76">
        <f t="shared" si="158"/>
        <v>16.264034696607354</v>
      </c>
    </row>
    <row r="2243" spans="7:26">
      <c r="G2243" s="9"/>
      <c r="H2243" s="2"/>
      <c r="I2243" s="2"/>
      <c r="J2243" s="2"/>
      <c r="K2243" s="2"/>
      <c r="L2243" s="145"/>
      <c r="M2243" s="169" t="s">
        <v>402</v>
      </c>
      <c r="N2243" s="170" t="s">
        <v>19</v>
      </c>
      <c r="O2243" s="170" t="s">
        <v>84</v>
      </c>
      <c r="P2243" s="145"/>
      <c r="Q2243" s="73">
        <f t="shared" si="154"/>
        <v>0</v>
      </c>
      <c r="R2243" s="73">
        <f t="shared" si="154"/>
        <v>0</v>
      </c>
      <c r="S2243" s="73">
        <f t="shared" si="154"/>
        <v>0</v>
      </c>
      <c r="T2243" s="73">
        <f t="shared" si="154"/>
        <v>0</v>
      </c>
      <c r="U2243" s="73">
        <f t="shared" si="154"/>
        <v>0</v>
      </c>
      <c r="V2243" s="74"/>
      <c r="W2243" s="224">
        <f t="shared" si="155"/>
        <v>0</v>
      </c>
      <c r="X2243" s="75">
        <f t="shared" si="156"/>
        <v>0</v>
      </c>
      <c r="Y2243" s="75">
        <f t="shared" si="157"/>
        <v>0</v>
      </c>
      <c r="Z2243" s="76" t="e">
        <f t="shared" si="158"/>
        <v>#DIV/0!</v>
      </c>
    </row>
    <row r="2244" spans="7:26">
      <c r="G2244" s="9"/>
      <c r="H2244" s="2"/>
      <c r="I2244" s="2"/>
      <c r="J2244" s="2"/>
      <c r="K2244" s="2"/>
      <c r="L2244" s="145"/>
      <c r="M2244" s="169" t="s">
        <v>403</v>
      </c>
      <c r="N2244" s="170" t="s">
        <v>84</v>
      </c>
      <c r="O2244" s="170" t="s">
        <v>84</v>
      </c>
      <c r="P2244" s="145"/>
      <c r="Q2244" s="73">
        <f t="shared" si="154"/>
        <v>0</v>
      </c>
      <c r="R2244" s="73">
        <f t="shared" si="154"/>
        <v>0</v>
      </c>
      <c r="S2244" s="73">
        <f t="shared" si="154"/>
        <v>0</v>
      </c>
      <c r="T2244" s="73">
        <f t="shared" si="154"/>
        <v>0</v>
      </c>
      <c r="U2244" s="73">
        <f t="shared" si="154"/>
        <v>0</v>
      </c>
      <c r="V2244" s="74"/>
      <c r="W2244" s="224">
        <f t="shared" si="155"/>
        <v>0</v>
      </c>
      <c r="X2244" s="75">
        <f t="shared" si="156"/>
        <v>0</v>
      </c>
      <c r="Y2244" s="75">
        <f t="shared" si="157"/>
        <v>0</v>
      </c>
      <c r="Z2244" s="76" t="e">
        <f t="shared" si="158"/>
        <v>#DIV/0!</v>
      </c>
    </row>
    <row r="2245" spans="7:26">
      <c r="G2245" s="9"/>
      <c r="H2245" s="2"/>
      <c r="I2245" s="2"/>
      <c r="J2245" s="2"/>
      <c r="K2245" s="2"/>
      <c r="L2245" s="145"/>
      <c r="M2245" s="169" t="s">
        <v>398</v>
      </c>
      <c r="N2245" s="209" t="s">
        <v>410</v>
      </c>
      <c r="O2245" s="209" t="s">
        <v>84</v>
      </c>
      <c r="P2245" s="145"/>
      <c r="Q2245" s="73">
        <f t="shared" si="154"/>
        <v>0</v>
      </c>
      <c r="R2245" s="73">
        <f t="shared" si="154"/>
        <v>0</v>
      </c>
      <c r="S2245" s="73">
        <f t="shared" si="154"/>
        <v>0</v>
      </c>
      <c r="T2245" s="73">
        <f t="shared" si="154"/>
        <v>0</v>
      </c>
      <c r="U2245" s="73">
        <f t="shared" si="154"/>
        <v>0</v>
      </c>
      <c r="V2245" s="74"/>
      <c r="W2245" s="224">
        <f t="shared" si="155"/>
        <v>0</v>
      </c>
      <c r="X2245" s="75">
        <f t="shared" si="156"/>
        <v>0</v>
      </c>
      <c r="Y2245" s="75">
        <f t="shared" si="157"/>
        <v>0</v>
      </c>
      <c r="Z2245" s="76" t="e">
        <f t="shared" si="158"/>
        <v>#DIV/0!</v>
      </c>
    </row>
    <row r="2246" spans="7:26">
      <c r="G2246" s="9"/>
      <c r="H2246" s="2"/>
      <c r="I2246" s="2"/>
      <c r="J2246" s="2"/>
      <c r="K2246" s="2"/>
      <c r="L2246" s="145"/>
      <c r="M2246" s="169" t="s">
        <v>391</v>
      </c>
      <c r="N2246" s="170" t="s">
        <v>67</v>
      </c>
      <c r="O2246" s="170" t="s">
        <v>67</v>
      </c>
      <c r="P2246" s="145"/>
      <c r="Q2246" s="73">
        <f t="shared" si="154"/>
        <v>0</v>
      </c>
      <c r="R2246" s="73">
        <f t="shared" si="154"/>
        <v>0</v>
      </c>
      <c r="S2246" s="73">
        <f t="shared" si="154"/>
        <v>0</v>
      </c>
      <c r="T2246" s="73">
        <f t="shared" si="154"/>
        <v>0</v>
      </c>
      <c r="U2246" s="73">
        <f t="shared" si="154"/>
        <v>0</v>
      </c>
      <c r="V2246" s="74"/>
      <c r="W2246" s="224">
        <f t="shared" si="155"/>
        <v>0</v>
      </c>
      <c r="X2246" s="75">
        <f t="shared" si="156"/>
        <v>0</v>
      </c>
      <c r="Y2246" s="75">
        <f t="shared" si="157"/>
        <v>0</v>
      </c>
      <c r="Z2246" s="76" t="e">
        <f t="shared" si="158"/>
        <v>#DIV/0!</v>
      </c>
    </row>
    <row r="2247" spans="7:26">
      <c r="G2247" s="9"/>
      <c r="H2247" s="2"/>
      <c r="I2247" s="2"/>
      <c r="J2247" s="2"/>
      <c r="K2247" s="2"/>
      <c r="L2247" s="145"/>
      <c r="M2247" s="169" t="s">
        <v>390</v>
      </c>
      <c r="N2247" s="170" t="s">
        <v>63</v>
      </c>
      <c r="O2247" s="170" t="s">
        <v>63</v>
      </c>
      <c r="P2247" s="145"/>
      <c r="Q2247" s="73">
        <f t="shared" si="154"/>
        <v>0</v>
      </c>
      <c r="R2247" s="73">
        <f t="shared" si="154"/>
        <v>0</v>
      </c>
      <c r="S2247" s="73">
        <f t="shared" si="154"/>
        <v>0</v>
      </c>
      <c r="T2247" s="73">
        <f t="shared" si="154"/>
        <v>0</v>
      </c>
      <c r="U2247" s="73">
        <f t="shared" si="154"/>
        <v>0</v>
      </c>
      <c r="V2247" s="74"/>
      <c r="W2247" s="224">
        <f t="shared" si="155"/>
        <v>0</v>
      </c>
      <c r="X2247" s="75">
        <f t="shared" si="156"/>
        <v>0</v>
      </c>
      <c r="Y2247" s="75">
        <f t="shared" si="157"/>
        <v>0</v>
      </c>
      <c r="Z2247" s="76" t="e">
        <f t="shared" si="158"/>
        <v>#DIV/0!</v>
      </c>
    </row>
    <row r="2248" spans="7:26">
      <c r="G2248" s="9"/>
      <c r="H2248" s="2"/>
      <c r="I2248" s="2"/>
      <c r="J2248" s="2"/>
      <c r="K2248" s="2"/>
      <c r="L2248" s="145"/>
      <c r="M2248" s="169" t="s">
        <v>392</v>
      </c>
      <c r="N2248" s="209" t="s">
        <v>68</v>
      </c>
      <c r="O2248" s="170" t="s">
        <v>69</v>
      </c>
      <c r="P2248" s="145"/>
      <c r="Q2248" s="73">
        <f t="shared" si="154"/>
        <v>0</v>
      </c>
      <c r="R2248" s="73">
        <f t="shared" si="154"/>
        <v>0</v>
      </c>
      <c r="S2248" s="73">
        <f t="shared" si="154"/>
        <v>0</v>
      </c>
      <c r="T2248" s="73">
        <f t="shared" si="154"/>
        <v>0</v>
      </c>
      <c r="U2248" s="73">
        <f t="shared" si="154"/>
        <v>0</v>
      </c>
      <c r="V2248" s="74"/>
      <c r="W2248" s="224">
        <f t="shared" si="155"/>
        <v>0</v>
      </c>
      <c r="X2248" s="75">
        <f t="shared" si="156"/>
        <v>0</v>
      </c>
      <c r="Y2248" s="75">
        <f t="shared" si="157"/>
        <v>0</v>
      </c>
      <c r="Z2248" s="76" t="e">
        <f t="shared" si="158"/>
        <v>#DIV/0!</v>
      </c>
    </row>
    <row r="2249" spans="7:26">
      <c r="G2249" s="9"/>
      <c r="H2249" s="2"/>
      <c r="I2249" s="2"/>
      <c r="J2249" s="2"/>
      <c r="K2249" s="2"/>
      <c r="L2249" s="145"/>
      <c r="M2249" s="169" t="s">
        <v>393</v>
      </c>
      <c r="N2249" s="209" t="s">
        <v>78</v>
      </c>
      <c r="O2249" s="209" t="s">
        <v>69</v>
      </c>
      <c r="P2249" s="145"/>
      <c r="Q2249" s="73">
        <f t="shared" si="154"/>
        <v>706</v>
      </c>
      <c r="R2249" s="73">
        <f t="shared" si="154"/>
        <v>706</v>
      </c>
      <c r="S2249" s="73">
        <f t="shared" si="154"/>
        <v>4095</v>
      </c>
      <c r="T2249" s="224">
        <f t="shared" si="154"/>
        <v>4095</v>
      </c>
      <c r="U2249" s="73">
        <f t="shared" si="154"/>
        <v>270</v>
      </c>
      <c r="V2249" s="74"/>
      <c r="W2249" s="224">
        <f t="shared" si="155"/>
        <v>4095</v>
      </c>
      <c r="X2249" s="75">
        <f t="shared" si="156"/>
        <v>4095</v>
      </c>
      <c r="Y2249" s="75">
        <f t="shared" si="157"/>
        <v>270</v>
      </c>
      <c r="Z2249" s="76">
        <f t="shared" si="158"/>
        <v>15.166666666666666</v>
      </c>
    </row>
    <row r="2250" spans="7:26">
      <c r="G2250" s="9"/>
      <c r="H2250" s="2"/>
      <c r="I2250" s="2"/>
      <c r="J2250" s="2"/>
      <c r="K2250" s="2"/>
      <c r="L2250" s="145"/>
      <c r="M2250" s="169" t="s">
        <v>394</v>
      </c>
      <c r="N2250" s="209" t="s">
        <v>75</v>
      </c>
      <c r="O2250" s="209" t="s">
        <v>69</v>
      </c>
      <c r="P2250" s="145"/>
      <c r="Q2250" s="73">
        <f t="shared" si="154"/>
        <v>0</v>
      </c>
      <c r="R2250" s="73">
        <f t="shared" si="154"/>
        <v>0</v>
      </c>
      <c r="S2250" s="73">
        <f t="shared" si="154"/>
        <v>0</v>
      </c>
      <c r="T2250" s="73">
        <f t="shared" si="154"/>
        <v>0</v>
      </c>
      <c r="U2250" s="73">
        <f t="shared" si="154"/>
        <v>0</v>
      </c>
      <c r="V2250" s="74"/>
      <c r="W2250" s="224">
        <f t="shared" si="155"/>
        <v>0</v>
      </c>
      <c r="X2250" s="75">
        <f t="shared" si="156"/>
        <v>0</v>
      </c>
      <c r="Y2250" s="75">
        <f t="shared" si="157"/>
        <v>0</v>
      </c>
      <c r="Z2250" s="76" t="e">
        <f t="shared" si="158"/>
        <v>#DIV/0!</v>
      </c>
    </row>
    <row r="2251" spans="7:26">
      <c r="G2251" s="9"/>
      <c r="H2251" s="2"/>
      <c r="I2251" s="2"/>
      <c r="J2251" s="2"/>
      <c r="K2251" s="2"/>
      <c r="L2251" s="33"/>
      <c r="M2251" s="210" t="s">
        <v>448</v>
      </c>
      <c r="N2251" s="209" t="s">
        <v>439</v>
      </c>
      <c r="O2251" s="209" t="s">
        <v>440</v>
      </c>
      <c r="P2251" s="33"/>
      <c r="Q2251" s="73">
        <f t="shared" si="154"/>
        <v>0</v>
      </c>
      <c r="R2251" s="73">
        <f t="shared" si="154"/>
        <v>0</v>
      </c>
      <c r="S2251" s="73">
        <f t="shared" si="154"/>
        <v>0</v>
      </c>
      <c r="T2251" s="73">
        <f t="shared" si="154"/>
        <v>0</v>
      </c>
      <c r="U2251" s="73">
        <f t="shared" si="154"/>
        <v>0</v>
      </c>
      <c r="V2251" s="74"/>
      <c r="W2251" s="224">
        <f t="shared" si="155"/>
        <v>0</v>
      </c>
      <c r="X2251" s="75">
        <f>SUMIFS(T$7:T$2081,U$7:U$2081, "&gt;0",$K$7:$K$2081, "&lt;4",$G$7:$G$2081,$G$2139,$N$7:$N$2081,$N2251)</f>
        <v>1198</v>
      </c>
      <c r="Y2251" s="75">
        <f>SUMIFS(U$7:U$2081,U$7:U$2081, "&gt;0",$K$7:$K$2081, "&lt;4",$G$7:$G$2081,$G$2139,$N$7:$N$2081,$N2251)</f>
        <v>66.295999999999992</v>
      </c>
      <c r="Z2251" s="76">
        <f t="shared" si="158"/>
        <v>18.070471823337758</v>
      </c>
    </row>
    <row r="2252" spans="7:26">
      <c r="G2252" s="9"/>
      <c r="H2252" s="2"/>
      <c r="I2252" s="2"/>
      <c r="J2252" s="2"/>
      <c r="K2252" s="2"/>
      <c r="L2252" s="145"/>
      <c r="M2252" s="145"/>
      <c r="N2252" s="145"/>
      <c r="O2252" s="145"/>
      <c r="P2252" s="145"/>
      <c r="Q2252" s="2"/>
      <c r="R2252" s="2"/>
      <c r="S2252" s="2"/>
      <c r="T2252" s="2"/>
      <c r="U2252" s="2"/>
      <c r="V2252" s="2"/>
      <c r="W2252" s="19"/>
      <c r="X2252" s="2"/>
      <c r="Y2252" s="2"/>
      <c r="Z2252" s="80"/>
    </row>
    <row r="2253" spans="7:26">
      <c r="G2253" s="9"/>
      <c r="H2253" s="2" t="s">
        <v>405</v>
      </c>
      <c r="I2253" s="2"/>
      <c r="J2253" s="2"/>
      <c r="K2253" s="2"/>
      <c r="L2253" s="145"/>
      <c r="M2253" s="169" t="s">
        <v>396</v>
      </c>
      <c r="N2253" s="170" t="s">
        <v>65</v>
      </c>
      <c r="O2253" s="170" t="s">
        <v>66</v>
      </c>
      <c r="P2253" s="145"/>
      <c r="Q2253" s="73">
        <f t="shared" ref="Q2253:U2260" si="159">SUMIFS(Q$7:Q$2081,$K$7:$K$2081, "&lt;4",$G$7:$G$2081,$G$2239,$N$7:$N$2081,$N2253)</f>
        <v>1667901</v>
      </c>
      <c r="R2253" s="73">
        <f t="shared" si="159"/>
        <v>1667901</v>
      </c>
      <c r="S2253" s="73">
        <f t="shared" si="159"/>
        <v>630275</v>
      </c>
      <c r="T2253" s="73">
        <f t="shared" si="159"/>
        <v>630275</v>
      </c>
      <c r="U2253" s="73">
        <f t="shared" si="159"/>
        <v>66463</v>
      </c>
      <c r="V2253" s="74"/>
      <c r="W2253" s="224">
        <f t="shared" ref="W2253:W2260" si="160">SUMIFS(T$7:T$2081,$K$7:$K$2081, "&lt;4",$G$7:$G$2081,$G$2239,$N$7:$N$2081,$N2253, $W$7:$W$2081, "=x")</f>
        <v>0</v>
      </c>
      <c r="X2253" s="75">
        <f t="shared" ref="X2253:X2260" si="161">SUMIFS(T$7:T$2081,U$7:U$2081, "&gt;0",$K$7:$K$2081, "&lt;4",$G$7:$G$2081,$G$2239,$N$7:$N$2081,$N2253)</f>
        <v>630275</v>
      </c>
      <c r="Y2253" s="75">
        <f t="shared" ref="Y2253:Y2260" si="162">SUMIFS(U$7:U$2081,U$7:U$2081, "&gt;0",$K$7:$K$2081, "&lt;4",$G$7:$G$2081,$G$2239,$N$7:$N$2081,$N2253)</f>
        <v>66463</v>
      </c>
      <c r="Z2253" s="76">
        <f t="shared" ref="Z2253:Z2260" si="163">X2253/Y2253</f>
        <v>9.4830958578457185</v>
      </c>
    </row>
    <row r="2254" spans="7:26">
      <c r="G2254" s="9"/>
      <c r="H2254" s="2"/>
      <c r="I2254" s="2"/>
      <c r="J2254" s="2"/>
      <c r="K2254" s="2"/>
      <c r="L2254" s="145"/>
      <c r="M2254" s="169" t="s">
        <v>399</v>
      </c>
      <c r="N2254" s="170" t="s">
        <v>18</v>
      </c>
      <c r="O2254" s="170" t="s">
        <v>66</v>
      </c>
      <c r="P2254" s="145"/>
      <c r="Q2254" s="73">
        <f t="shared" si="159"/>
        <v>0</v>
      </c>
      <c r="R2254" s="73">
        <f t="shared" si="159"/>
        <v>0</v>
      </c>
      <c r="S2254" s="73">
        <f t="shared" si="159"/>
        <v>0</v>
      </c>
      <c r="T2254" s="73">
        <f t="shared" si="159"/>
        <v>0</v>
      </c>
      <c r="U2254" s="73">
        <f t="shared" si="159"/>
        <v>0</v>
      </c>
      <c r="V2254" s="74"/>
      <c r="W2254" s="224">
        <f t="shared" si="160"/>
        <v>0</v>
      </c>
      <c r="X2254" s="75">
        <f t="shared" si="161"/>
        <v>0</v>
      </c>
      <c r="Y2254" s="75">
        <f t="shared" si="162"/>
        <v>0</v>
      </c>
      <c r="Z2254" s="76" t="e">
        <f t="shared" si="163"/>
        <v>#DIV/0!</v>
      </c>
    </row>
    <row r="2255" spans="7:26">
      <c r="G2255" s="9"/>
      <c r="H2255" s="2"/>
      <c r="I2255" s="2"/>
      <c r="J2255" s="2"/>
      <c r="K2255" s="2"/>
      <c r="L2255" s="145"/>
      <c r="M2255" s="169" t="s">
        <v>395</v>
      </c>
      <c r="N2255" s="209" t="s">
        <v>159</v>
      </c>
      <c r="O2255" s="209" t="s">
        <v>72</v>
      </c>
      <c r="P2255" s="145"/>
      <c r="Q2255" s="73">
        <f t="shared" si="159"/>
        <v>0</v>
      </c>
      <c r="R2255" s="73">
        <f t="shared" si="159"/>
        <v>0</v>
      </c>
      <c r="S2255" s="73">
        <f t="shared" si="159"/>
        <v>0</v>
      </c>
      <c r="T2255" s="73">
        <f t="shared" si="159"/>
        <v>0</v>
      </c>
      <c r="U2255" s="73">
        <f t="shared" si="159"/>
        <v>0</v>
      </c>
      <c r="V2255" s="74"/>
      <c r="W2255" s="224">
        <f t="shared" si="160"/>
        <v>0</v>
      </c>
      <c r="X2255" s="75">
        <f t="shared" si="161"/>
        <v>0</v>
      </c>
      <c r="Y2255" s="75">
        <f t="shared" si="162"/>
        <v>0</v>
      </c>
      <c r="Z2255" s="76" t="e">
        <f t="shared" si="163"/>
        <v>#DIV/0!</v>
      </c>
    </row>
    <row r="2256" spans="7:26">
      <c r="G2256" s="9"/>
      <c r="H2256" s="2"/>
      <c r="I2256" s="2"/>
      <c r="J2256" s="2"/>
      <c r="K2256" s="2"/>
      <c r="L2256" s="145"/>
      <c r="M2256" s="169" t="s">
        <v>404</v>
      </c>
      <c r="N2256" s="209" t="s">
        <v>71</v>
      </c>
      <c r="O2256" s="209" t="s">
        <v>72</v>
      </c>
      <c r="P2256" s="145"/>
      <c r="Q2256" s="73">
        <f t="shared" si="159"/>
        <v>574695</v>
      </c>
      <c r="R2256" s="73">
        <f t="shared" si="159"/>
        <v>574695</v>
      </c>
      <c r="S2256" s="73">
        <f t="shared" si="159"/>
        <v>5251179</v>
      </c>
      <c r="T2256" s="73">
        <f t="shared" si="159"/>
        <v>5251179</v>
      </c>
      <c r="U2256" s="73">
        <f t="shared" si="159"/>
        <v>357321.53</v>
      </c>
      <c r="V2256" s="74"/>
      <c r="W2256" s="224">
        <f t="shared" si="160"/>
        <v>0</v>
      </c>
      <c r="X2256" s="75">
        <f t="shared" si="161"/>
        <v>5251179</v>
      </c>
      <c r="Y2256" s="75">
        <f t="shared" si="162"/>
        <v>357321.53</v>
      </c>
      <c r="Z2256" s="76">
        <f t="shared" si="163"/>
        <v>14.695949051824556</v>
      </c>
    </row>
    <row r="2257" spans="7:26">
      <c r="G2257" s="9"/>
      <c r="H2257" s="2"/>
      <c r="I2257" s="2"/>
      <c r="J2257" s="2"/>
      <c r="K2257" s="2"/>
      <c r="L2257" s="145"/>
      <c r="M2257" s="169" t="s">
        <v>397</v>
      </c>
      <c r="N2257" s="170" t="s">
        <v>160</v>
      </c>
      <c r="O2257" s="170" t="s">
        <v>51</v>
      </c>
      <c r="P2257" s="145"/>
      <c r="Q2257" s="73">
        <f t="shared" si="159"/>
        <v>0</v>
      </c>
      <c r="R2257" s="73">
        <f t="shared" si="159"/>
        <v>0</v>
      </c>
      <c r="S2257" s="73">
        <f t="shared" si="159"/>
        <v>0</v>
      </c>
      <c r="T2257" s="73">
        <f t="shared" si="159"/>
        <v>0</v>
      </c>
      <c r="U2257" s="73">
        <f t="shared" si="159"/>
        <v>0</v>
      </c>
      <c r="V2257" s="74"/>
      <c r="W2257" s="224">
        <f t="shared" si="160"/>
        <v>0</v>
      </c>
      <c r="X2257" s="75">
        <f t="shared" si="161"/>
        <v>0</v>
      </c>
      <c r="Y2257" s="75">
        <f t="shared" si="162"/>
        <v>0</v>
      </c>
      <c r="Z2257" s="76" t="e">
        <f t="shared" si="163"/>
        <v>#DIV/0!</v>
      </c>
    </row>
    <row r="2258" spans="7:26">
      <c r="G2258" s="9"/>
      <c r="H2258" s="2"/>
      <c r="I2258" s="2"/>
      <c r="J2258" s="2"/>
      <c r="K2258" s="2"/>
      <c r="L2258" s="33"/>
      <c r="M2258" s="210" t="s">
        <v>450</v>
      </c>
      <c r="N2258" s="209" t="s">
        <v>431</v>
      </c>
      <c r="O2258" s="209" t="s">
        <v>51</v>
      </c>
      <c r="P2258" s="145"/>
      <c r="Q2258" s="73">
        <f t="shared" si="159"/>
        <v>0</v>
      </c>
      <c r="R2258" s="73">
        <f t="shared" si="159"/>
        <v>0</v>
      </c>
      <c r="S2258" s="73">
        <f t="shared" si="159"/>
        <v>0</v>
      </c>
      <c r="T2258" s="73">
        <f t="shared" si="159"/>
        <v>0</v>
      </c>
      <c r="U2258" s="73">
        <f t="shared" si="159"/>
        <v>0</v>
      </c>
      <c r="V2258" s="74"/>
      <c r="W2258" s="224">
        <f t="shared" si="160"/>
        <v>0</v>
      </c>
      <c r="X2258" s="75">
        <f t="shared" si="161"/>
        <v>0</v>
      </c>
      <c r="Y2258" s="75">
        <f t="shared" si="162"/>
        <v>0</v>
      </c>
      <c r="Z2258" s="76" t="e">
        <f t="shared" si="163"/>
        <v>#DIV/0!</v>
      </c>
    </row>
    <row r="2259" spans="7:26">
      <c r="G2259" s="9"/>
      <c r="H2259" s="2"/>
      <c r="I2259" s="2"/>
      <c r="J2259" s="2"/>
      <c r="K2259" s="2"/>
      <c r="L2259" s="33"/>
      <c r="M2259" s="210" t="s">
        <v>2657</v>
      </c>
      <c r="N2259" s="209" t="s">
        <v>436</v>
      </c>
      <c r="O2259" s="209" t="s">
        <v>51</v>
      </c>
      <c r="P2259" s="145"/>
      <c r="Q2259" s="73">
        <f t="shared" si="159"/>
        <v>0</v>
      </c>
      <c r="R2259" s="73">
        <f t="shared" si="159"/>
        <v>0</v>
      </c>
      <c r="S2259" s="73">
        <f t="shared" si="159"/>
        <v>0</v>
      </c>
      <c r="T2259" s="73">
        <f t="shared" si="159"/>
        <v>0</v>
      </c>
      <c r="U2259" s="73">
        <f t="shared" si="159"/>
        <v>0</v>
      </c>
      <c r="V2259" s="74"/>
      <c r="W2259" s="224">
        <f t="shared" si="160"/>
        <v>0</v>
      </c>
      <c r="X2259" s="75">
        <f t="shared" si="161"/>
        <v>0</v>
      </c>
      <c r="Y2259" s="75">
        <f t="shared" si="162"/>
        <v>0</v>
      </c>
      <c r="Z2259" s="76" t="e">
        <f t="shared" si="163"/>
        <v>#DIV/0!</v>
      </c>
    </row>
    <row r="2260" spans="7:26">
      <c r="G2260" s="9"/>
      <c r="H2260" s="2"/>
      <c r="I2260" s="2"/>
      <c r="J2260" s="2"/>
      <c r="K2260" s="2"/>
      <c r="L2260" s="33"/>
      <c r="M2260" s="210" t="s">
        <v>449</v>
      </c>
      <c r="N2260" s="209" t="s">
        <v>70</v>
      </c>
      <c r="O2260" s="209" t="s">
        <v>51</v>
      </c>
      <c r="P2260" s="145"/>
      <c r="Q2260" s="73">
        <f t="shared" si="159"/>
        <v>0</v>
      </c>
      <c r="R2260" s="73">
        <f t="shared" si="159"/>
        <v>0</v>
      </c>
      <c r="S2260" s="73">
        <f t="shared" si="159"/>
        <v>0</v>
      </c>
      <c r="T2260" s="73">
        <f t="shared" si="159"/>
        <v>0</v>
      </c>
      <c r="U2260" s="73">
        <f t="shared" si="159"/>
        <v>0</v>
      </c>
      <c r="V2260" s="74"/>
      <c r="W2260" s="224">
        <f t="shared" si="160"/>
        <v>0</v>
      </c>
      <c r="X2260" s="75">
        <f t="shared" si="161"/>
        <v>0</v>
      </c>
      <c r="Y2260" s="75">
        <f t="shared" si="162"/>
        <v>0</v>
      </c>
      <c r="Z2260" s="76" t="e">
        <f t="shared" si="163"/>
        <v>#DIV/0!</v>
      </c>
    </row>
    <row r="2261" spans="7:26" ht="13">
      <c r="G2261" s="10"/>
      <c r="H2261" s="11"/>
      <c r="I2261" s="11"/>
      <c r="J2261" s="11"/>
      <c r="K2261" s="11"/>
      <c r="L2261" s="11"/>
      <c r="M2261" s="11"/>
      <c r="N2261" s="11"/>
      <c r="O2261" s="12"/>
      <c r="P2261" s="11"/>
      <c r="Q2261" s="38">
        <f>SUM(Q2239:Q2260)</f>
        <v>2258725</v>
      </c>
      <c r="R2261" s="38">
        <f>SUM(R2239:R2260)</f>
        <v>2258725</v>
      </c>
      <c r="S2261" s="38">
        <f>SUM(S2239:S2260)</f>
        <v>5915957</v>
      </c>
      <c r="T2261" s="38">
        <f>SUM(T2239:T2260)</f>
        <v>5915957</v>
      </c>
      <c r="U2261" s="38">
        <f>SUM(U2239:U2260)</f>
        <v>425588.00200000004</v>
      </c>
      <c r="V2261" s="77"/>
      <c r="W2261" s="77"/>
      <c r="X2261" s="78"/>
      <c r="Y2261" s="78"/>
      <c r="Z2261" s="79"/>
    </row>
    <row r="2263" spans="7:26">
      <c r="P2263" s="1"/>
      <c r="V2263"/>
      <c r="W2263"/>
    </row>
    <row r="2264" spans="7:26" ht="52">
      <c r="G2264" s="781" t="s">
        <v>3267</v>
      </c>
      <c r="H2264" s="748"/>
      <c r="I2264" s="748"/>
      <c r="J2264" s="868" t="s">
        <v>3273</v>
      </c>
      <c r="K2264" s="868"/>
      <c r="L2264" s="868"/>
      <c r="M2264" s="868"/>
      <c r="N2264" s="868"/>
      <c r="O2264" s="868"/>
      <c r="P2264" s="868"/>
      <c r="Q2264" s="868"/>
      <c r="R2264" s="868"/>
      <c r="S2264" s="868"/>
      <c r="T2264" s="868"/>
      <c r="U2264" s="868"/>
      <c r="V2264"/>
      <c r="W2264"/>
      <c r="X2264" s="783" t="s">
        <v>1474</v>
      </c>
      <c r="Y2264" s="783" t="s">
        <v>1473</v>
      </c>
      <c r="Z2264" s="784" t="s">
        <v>2903</v>
      </c>
    </row>
    <row r="2265" spans="7:26">
      <c r="G2265" s="748" t="s">
        <v>83</v>
      </c>
      <c r="H2265" s="748"/>
      <c r="I2265" s="748"/>
      <c r="J2265" s="748"/>
      <c r="K2265" s="748"/>
      <c r="L2265" s="775" t="s">
        <v>388</v>
      </c>
      <c r="M2265" s="748" t="s">
        <v>1322</v>
      </c>
      <c r="N2265" s="782" t="s">
        <v>41</v>
      </c>
      <c r="O2265" s="782" t="s">
        <v>41</v>
      </c>
      <c r="P2265" s="1"/>
      <c r="Q2265" s="773">
        <f>SUMIFS(Q$7:Q$2081,$K$7:$K$2081, "&lt;4",$G$7:$G$2081,$G$2265,$M$7:$M$2081,$M2265,$N$7:$N$2081,$N2265)</f>
        <v>0</v>
      </c>
      <c r="R2265" s="773">
        <f>SUMIFS(R$7:R$2081,$K$7:$K$2081, "&lt;4",$G$7:$G$2081,$G$2265,$M$7:$M$2081,$M2265,$N$7:$N$2081,$N2265)</f>
        <v>0</v>
      </c>
      <c r="S2265" s="773">
        <f>SUMIFS(S$7:S$2081,$K$7:$K$2081, "&lt;4",$G$7:$G$2081,$G$2265,$M$7:$M$2081,$M2265,$N$7:$N$2081,$N2265)</f>
        <v>0</v>
      </c>
      <c r="T2265" s="773">
        <f>SUMIFS(T$7:T$2081,$K$7:$K$2081, "&lt;4",$G$7:$G$2081,$G$2265,$M$7:$M$2081,$M2265,$N$7:$N$2081,$N2265)</f>
        <v>0</v>
      </c>
      <c r="U2265" s="773">
        <f>SUMIFS(U$7:U$2081,$K$7:$K$2081, "&lt;4",$G$7:$G$2081,$G$2265,$M$7:$M$2081,$M2265,$N$7:$N$2081,$N2265)</f>
        <v>0</v>
      </c>
      <c r="V2265"/>
      <c r="W2265"/>
      <c r="X2265" s="776">
        <f>SUMIFS(T$7:T$2081,U$7:U$2081, "&gt;0",$K$7:$K$2081, "&lt;4",$G$7:$G$2081,$G2265,$M$7:$M$2081,$M2265,$N$7:$N$2081,$N2265)</f>
        <v>0</v>
      </c>
      <c r="Y2265" s="776">
        <f>SUMIFS(U$7:U$2081,U$7:U$2081, "&gt;0",$K$7:$K$2081, "&lt;4",$G$7:$G$2081,$G2265,$M$7:$M$2081,$M2265,$N$7:$N$2081,$N2265)</f>
        <v>0</v>
      </c>
      <c r="Z2265" s="777" t="e">
        <f>X2265/Y2265</f>
        <v>#DIV/0!</v>
      </c>
    </row>
    <row r="2266" spans="7:26">
      <c r="G2266" s="748" t="s">
        <v>43</v>
      </c>
      <c r="H2266" s="748"/>
      <c r="I2266" s="748"/>
      <c r="J2266" s="748"/>
      <c r="K2266" s="748"/>
      <c r="L2266" s="775" t="s">
        <v>388</v>
      </c>
      <c r="M2266" s="748" t="s">
        <v>1322</v>
      </c>
      <c r="N2266" s="782" t="s">
        <v>41</v>
      </c>
      <c r="O2266" s="782" t="s">
        <v>41</v>
      </c>
      <c r="P2266" s="1"/>
      <c r="Q2266" s="773">
        <f>SUMIFS(Q$7:Q$2081,$K$7:$K$2081, "&lt;4",$G$7:$G$2081,$G$2266,$M$7:$M$2081,$M2266,$N$7:$N$2081,$N2266)</f>
        <v>2189651</v>
      </c>
      <c r="R2266" s="773">
        <f>SUMIFS(R$7:R$2081,$K$7:$K$2081, "&lt;4",$G$7:$G$2081,$G$2266,$M$7:$M$2081,$M2266,$N$7:$N$2081,$N2266)</f>
        <v>2189651</v>
      </c>
      <c r="S2266" s="773">
        <f>SUMIFS(S$7:S$2081,$K$7:$K$2081, "&lt;4",$G$7:$G$2081,$G$2266,$M$7:$M$2081,$M2266,$N$7:$N$2081,$N2266)</f>
        <v>2241741</v>
      </c>
      <c r="T2266" s="773">
        <f>SUMIFS(T$7:T$2081,$K$7:$K$2081, "&lt;4",$G$7:$G$2081,$G$2266,$M$7:$M$2081,$M2266,$N$7:$N$2081,$N2266)</f>
        <v>2241741</v>
      </c>
      <c r="U2266" s="773">
        <f>SUMIFS(U$7:U$2081,$K$7:$K$2081, "&lt;4",$G$7:$G$2081,$G$2266,$M$7:$M$2081,$M2266,$N$7:$N$2081,$N2266)</f>
        <v>267490</v>
      </c>
      <c r="V2266"/>
      <c r="W2266"/>
      <c r="X2266" s="776">
        <f>SUMIFS(T$7:T$2081,U$7:U$2081, "&gt;0",$K$7:$K$2081, "&lt;4",$G$7:$G$2081,$G2266,$M$7:$M$2081,$M2266,$N$7:$N$2081,$N2266)</f>
        <v>2241741</v>
      </c>
      <c r="Y2266" s="776">
        <f>SUMIFS(U$7:U$2081,U$7:U$2081, "&gt;0",$K$7:$K$2081, "&lt;4",$G$7:$G$2081,$G2266,$M$7:$M$2081,$M2266,$N$7:$N$2081,$N2266)</f>
        <v>267490</v>
      </c>
      <c r="Z2266" s="777">
        <f>X2266/Y2266</f>
        <v>8.3806534823731731</v>
      </c>
    </row>
    <row r="2267" spans="7:26">
      <c r="G2267" s="748" t="s">
        <v>59</v>
      </c>
      <c r="H2267" s="748"/>
      <c r="I2267" s="748"/>
      <c r="J2267" s="748"/>
      <c r="K2267" s="748"/>
      <c r="L2267" s="775" t="s">
        <v>388</v>
      </c>
      <c r="M2267" s="748" t="s">
        <v>1322</v>
      </c>
      <c r="N2267" s="782" t="s">
        <v>41</v>
      </c>
      <c r="O2267" s="782" t="s">
        <v>41</v>
      </c>
      <c r="Q2267" s="773">
        <f>SUMIFS(Q$7:Q$2081,$K$7:$K$2081, "&lt;4",$G$7:$G$2081,$G$2267,$M$7:$M$2081,$M2267,$N$7:$N$2081,$N2267)</f>
        <v>401357</v>
      </c>
      <c r="R2267" s="773">
        <f>SUMIFS(R$7:R$2081,$K$7:$K$2081, "&lt;4",$G$7:$G$2081,$G$2267,$M$7:$M$2081,$M2267,$N$7:$N$2081,$N2267)</f>
        <v>401357</v>
      </c>
      <c r="S2267" s="773">
        <f>SUMIFS(S$7:S$2081,$K$7:$K$2081, "&lt;4",$G$7:$G$2081,$G$2267,$M$7:$M$2081,$M2267,$N$7:$N$2081,$N2267)</f>
        <v>427648</v>
      </c>
      <c r="T2267" s="773">
        <f>SUMIFS(T$7:T$2081,$K$7:$K$2081, "&lt;4",$G$7:$G$2081,$G$2267,$M$7:$M$2081,$M2267,$N$7:$N$2081,$N2267)</f>
        <v>427648</v>
      </c>
      <c r="U2267" s="773">
        <f>SUMIFS(U$7:U$2081,$K$7:$K$2081, "&lt;4",$G$7:$G$2081,$G$2267,$M$7:$M$2081,$M2267,$N$7:$N$2081,$N2267)</f>
        <v>61043</v>
      </c>
      <c r="X2267" s="776">
        <f>SUMIFS(T$7:T$2081,U$7:U$2081, "&gt;0",$K$7:$K$2081, "&lt;4",$G$7:$G$2081,$G2267,$M$7:$M$2081,$M2267,$N$7:$N$2081,$N2267)</f>
        <v>427648</v>
      </c>
      <c r="Y2267" s="776">
        <f>SUMIFS(U$7:U$2081,U$7:U$2081, "&gt;0",$K$7:$K$2081, "&lt;4",$G$7:$G$2081,$G2267,$M$7:$M$2081,$M2267,$N$7:$N$2081,$N2267)</f>
        <v>61043</v>
      </c>
      <c r="Z2267" s="777">
        <f>X2267/Y2267</f>
        <v>7.0056845174712912</v>
      </c>
    </row>
  </sheetData>
  <autoFilter ref="A6:Z2081">
    <filterColumn colId="11">
      <filters>
        <filter val="Electric Utility"/>
        <filter val="NAICS-22 Cogen"/>
        <filter val="NAICS-22 Non-Cogen"/>
      </filters>
    </filterColumn>
    <filterColumn colId="12">
      <filters>
        <filter val="FC"/>
      </filters>
    </filterColumn>
    <sortState xmlns:xlrd2="http://schemas.microsoft.com/office/spreadsheetml/2017/richdata2" ref="A7:Z2081">
      <sortCondition ref="A6:A2081"/>
    </sortState>
  </autoFilter>
  <mergeCells count="3">
    <mergeCell ref="A5:P5"/>
    <mergeCell ref="Q5:U5"/>
    <mergeCell ref="J2264:U2264"/>
  </mergeCells>
  <phoneticPr fontId="0" type="noConversion"/>
  <hyperlinks>
    <hyperlink ref="E4" r:id="rId1"/>
  </hyperlinks>
  <pageMargins left="0" right="0" top="0.75" bottom="0.75" header="0.5" footer="0.25"/>
  <pageSetup scale="32" fitToHeight="0" orientation="landscape" r:id="rId2"/>
  <headerFooter alignWithMargins="0">
    <oddFooter>&amp;R&amp;A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R365"/>
  <sheetViews>
    <sheetView zoomScale="113" zoomScaleNormal="100" workbookViewId="0">
      <pane ySplit="1" topLeftCell="A328" activePane="bottomLeft" state="frozen"/>
      <selection pane="bottomLeft" activeCell="B337" sqref="B337"/>
    </sheetView>
  </sheetViews>
  <sheetFormatPr defaultColWidth="8.81640625" defaultRowHeight="12.5"/>
  <cols>
    <col min="1" max="1" width="8" customWidth="1"/>
    <col min="2" max="2" width="45.36328125" customWidth="1"/>
    <col min="3" max="3" width="9.81640625" customWidth="1"/>
    <col min="4" max="4" width="11" customWidth="1"/>
    <col min="5" max="5" width="5" customWidth="1"/>
    <col min="6" max="6" width="13.81640625" style="25" customWidth="1"/>
    <col min="7" max="7" width="17.54296875" style="20" customWidth="1"/>
    <col min="8" max="8" width="16.81640625" customWidth="1"/>
    <col min="9" max="9" width="12.453125" customWidth="1"/>
    <col min="10" max="10" width="19" style="152" customWidth="1"/>
    <col min="11" max="11" width="15.453125" customWidth="1"/>
    <col min="12" max="12" width="8.6328125" customWidth="1"/>
    <col min="13" max="13" width="11.6328125" customWidth="1"/>
  </cols>
  <sheetData>
    <row r="1" spans="1:10">
      <c r="A1" t="s">
        <v>2002</v>
      </c>
      <c r="B1" t="s">
        <v>2003</v>
      </c>
      <c r="C1" t="s">
        <v>2004</v>
      </c>
      <c r="D1" t="s">
        <v>2005</v>
      </c>
      <c r="E1" t="s">
        <v>2006</v>
      </c>
      <c r="F1" t="s">
        <v>2007</v>
      </c>
      <c r="G1" t="s">
        <v>2008</v>
      </c>
      <c r="H1" t="s">
        <v>2009</v>
      </c>
      <c r="I1" t="s">
        <v>13</v>
      </c>
      <c r="J1" s="32" t="s">
        <v>1909</v>
      </c>
    </row>
    <row r="2" spans="1:10">
      <c r="A2" t="s">
        <v>43</v>
      </c>
      <c r="B2" t="s">
        <v>248</v>
      </c>
      <c r="C2">
        <v>544</v>
      </c>
      <c r="D2">
        <v>11</v>
      </c>
      <c r="E2">
        <v>2019</v>
      </c>
      <c r="F2" s="758">
        <v>219.3</v>
      </c>
      <c r="G2" s="754">
        <v>3104</v>
      </c>
      <c r="H2" t="s">
        <v>238</v>
      </c>
      <c r="I2" s="755">
        <f t="shared" ref="I2:I27" si="0">F2</f>
        <v>219.3</v>
      </c>
    </row>
    <row r="3" spans="1:10">
      <c r="A3" t="s">
        <v>43</v>
      </c>
      <c r="B3" t="s">
        <v>248</v>
      </c>
      <c r="C3">
        <v>544</v>
      </c>
      <c r="D3">
        <v>12</v>
      </c>
      <c r="E3">
        <v>2019</v>
      </c>
      <c r="F3" s="758">
        <v>145</v>
      </c>
      <c r="G3" s="754">
        <v>1792</v>
      </c>
      <c r="H3" t="s">
        <v>238</v>
      </c>
      <c r="I3" s="755">
        <f t="shared" si="0"/>
        <v>145</v>
      </c>
    </row>
    <row r="4" spans="1:10">
      <c r="A4" t="s">
        <v>43</v>
      </c>
      <c r="B4" t="s">
        <v>248</v>
      </c>
      <c r="C4">
        <v>544</v>
      </c>
      <c r="D4">
        <v>13</v>
      </c>
      <c r="E4">
        <v>2019</v>
      </c>
      <c r="F4" s="758">
        <v>515.20000000000005</v>
      </c>
      <c r="G4" s="754">
        <v>7948</v>
      </c>
      <c r="H4" t="s">
        <v>238</v>
      </c>
      <c r="I4" s="755">
        <f t="shared" si="0"/>
        <v>515.20000000000005</v>
      </c>
    </row>
    <row r="5" spans="1:10">
      <c r="A5" t="s">
        <v>43</v>
      </c>
      <c r="B5" t="s">
        <v>248</v>
      </c>
      <c r="C5">
        <v>544</v>
      </c>
      <c r="D5">
        <v>14</v>
      </c>
      <c r="E5">
        <v>2019</v>
      </c>
      <c r="F5" s="758">
        <v>477.7</v>
      </c>
      <c r="G5" s="754">
        <v>7652</v>
      </c>
      <c r="H5" t="s">
        <v>238</v>
      </c>
      <c r="I5" s="755">
        <f t="shared" si="0"/>
        <v>477.7</v>
      </c>
    </row>
    <row r="6" spans="1:10">
      <c r="A6" t="s">
        <v>43</v>
      </c>
      <c r="B6" t="s">
        <v>248</v>
      </c>
      <c r="C6">
        <v>544</v>
      </c>
      <c r="D6">
        <v>15</v>
      </c>
      <c r="E6">
        <v>2019</v>
      </c>
      <c r="F6" s="758">
        <v>415.54399999999998</v>
      </c>
      <c r="G6" s="754">
        <v>5565.3779999999997</v>
      </c>
      <c r="H6" t="s">
        <v>238</v>
      </c>
      <c r="I6" s="755">
        <f t="shared" si="0"/>
        <v>415.54399999999998</v>
      </c>
    </row>
    <row r="7" spans="1:10">
      <c r="A7" t="s">
        <v>43</v>
      </c>
      <c r="B7" t="s">
        <v>248</v>
      </c>
      <c r="C7">
        <v>544</v>
      </c>
      <c r="D7">
        <v>16</v>
      </c>
      <c r="E7">
        <v>2019</v>
      </c>
      <c r="F7" s="758">
        <v>600.84299999999996</v>
      </c>
      <c r="G7" s="754">
        <v>7900.3549999999996</v>
      </c>
      <c r="H7" t="s">
        <v>238</v>
      </c>
      <c r="I7" s="755">
        <f t="shared" si="0"/>
        <v>600.84299999999996</v>
      </c>
    </row>
    <row r="8" spans="1:10">
      <c r="A8" t="s">
        <v>43</v>
      </c>
      <c r="B8" t="s">
        <v>248</v>
      </c>
      <c r="C8">
        <v>544</v>
      </c>
      <c r="D8">
        <v>17</v>
      </c>
      <c r="E8">
        <v>2019</v>
      </c>
      <c r="F8" s="758">
        <v>521.452</v>
      </c>
      <c r="G8" s="754">
        <v>6743.0770000000002</v>
      </c>
      <c r="H8" t="s">
        <v>238</v>
      </c>
      <c r="I8" s="755">
        <f t="shared" si="0"/>
        <v>521.452</v>
      </c>
    </row>
    <row r="9" spans="1:10">
      <c r="A9" t="s">
        <v>43</v>
      </c>
      <c r="B9" t="s">
        <v>248</v>
      </c>
      <c r="C9">
        <v>544</v>
      </c>
      <c r="D9">
        <v>18</v>
      </c>
      <c r="E9">
        <v>2019</v>
      </c>
      <c r="F9" s="758">
        <v>525.31299999999999</v>
      </c>
      <c r="G9" s="754">
        <v>6643.165</v>
      </c>
      <c r="H9" t="s">
        <v>238</v>
      </c>
      <c r="I9" s="755">
        <f t="shared" si="0"/>
        <v>525.31299999999999</v>
      </c>
    </row>
    <row r="10" spans="1:10">
      <c r="A10" t="s">
        <v>43</v>
      </c>
      <c r="B10" t="s">
        <v>257</v>
      </c>
      <c r="C10">
        <v>546</v>
      </c>
      <c r="D10">
        <v>5</v>
      </c>
      <c r="E10">
        <v>2019</v>
      </c>
      <c r="F10" s="758">
        <v>6763.9549999999999</v>
      </c>
      <c r="G10" s="754">
        <v>107056.114</v>
      </c>
      <c r="H10" t="s">
        <v>246</v>
      </c>
      <c r="I10" s="755">
        <f t="shared" si="0"/>
        <v>6763.9549999999999</v>
      </c>
    </row>
    <row r="11" spans="1:10">
      <c r="A11" t="s">
        <v>43</v>
      </c>
      <c r="B11" t="s">
        <v>257</v>
      </c>
      <c r="C11">
        <v>546</v>
      </c>
      <c r="D11">
        <v>6</v>
      </c>
      <c r="E11">
        <v>2019</v>
      </c>
      <c r="F11" s="758">
        <v>3173.3649999999998</v>
      </c>
      <c r="G11" s="754">
        <v>39207.838000000003</v>
      </c>
      <c r="H11" t="s">
        <v>246</v>
      </c>
      <c r="I11" s="755">
        <f t="shared" si="0"/>
        <v>3173.3649999999998</v>
      </c>
    </row>
    <row r="12" spans="1:10">
      <c r="A12" t="s">
        <v>43</v>
      </c>
      <c r="B12" t="s">
        <v>85</v>
      </c>
      <c r="C12">
        <v>562</v>
      </c>
      <c r="D12">
        <v>12</v>
      </c>
      <c r="E12">
        <v>2019</v>
      </c>
      <c r="F12" s="758">
        <v>452.17599999999999</v>
      </c>
      <c r="G12" s="754">
        <v>5601.6530000000002</v>
      </c>
      <c r="H12" t="s">
        <v>238</v>
      </c>
      <c r="I12" s="755">
        <f t="shared" si="0"/>
        <v>452.17599999999999</v>
      </c>
    </row>
    <row r="13" spans="1:10">
      <c r="A13" t="s">
        <v>43</v>
      </c>
      <c r="B13" t="s">
        <v>85</v>
      </c>
      <c r="C13">
        <v>562</v>
      </c>
      <c r="D13">
        <v>13</v>
      </c>
      <c r="E13">
        <v>2019</v>
      </c>
      <c r="F13" s="758">
        <v>805.19100000000003</v>
      </c>
      <c r="G13" s="754">
        <v>9992.152</v>
      </c>
      <c r="H13" t="s">
        <v>238</v>
      </c>
      <c r="I13" s="755">
        <f t="shared" si="0"/>
        <v>805.19100000000003</v>
      </c>
    </row>
    <row r="14" spans="1:10">
      <c r="A14" t="s">
        <v>43</v>
      </c>
      <c r="B14" t="s">
        <v>85</v>
      </c>
      <c r="C14">
        <v>562</v>
      </c>
      <c r="D14">
        <v>14</v>
      </c>
      <c r="E14">
        <v>2019</v>
      </c>
      <c r="F14" s="758">
        <v>762.83799999999997</v>
      </c>
      <c r="G14" s="754">
        <v>9485.366</v>
      </c>
      <c r="H14" t="s">
        <v>238</v>
      </c>
      <c r="I14" s="755">
        <f t="shared" si="0"/>
        <v>762.83799999999997</v>
      </c>
    </row>
    <row r="15" spans="1:10">
      <c r="A15" t="s">
        <v>43</v>
      </c>
      <c r="B15" t="s">
        <v>85</v>
      </c>
      <c r="C15">
        <v>562</v>
      </c>
      <c r="D15">
        <v>15</v>
      </c>
      <c r="E15">
        <v>2019</v>
      </c>
      <c r="F15" s="758">
        <v>716.83600000000001</v>
      </c>
      <c r="G15" s="754">
        <v>8987.7649999999994</v>
      </c>
      <c r="H15" t="s">
        <v>238</v>
      </c>
      <c r="I15" s="755">
        <f t="shared" si="0"/>
        <v>716.83600000000001</v>
      </c>
    </row>
    <row r="16" spans="1:10">
      <c r="A16" t="s">
        <v>43</v>
      </c>
      <c r="B16" t="s">
        <v>85</v>
      </c>
      <c r="C16">
        <v>562</v>
      </c>
      <c r="D16">
        <v>2</v>
      </c>
      <c r="E16">
        <v>2019</v>
      </c>
      <c r="F16" s="758">
        <v>46589.968000000001</v>
      </c>
      <c r="G16" s="754">
        <v>785929.84699999995</v>
      </c>
      <c r="H16" t="s">
        <v>253</v>
      </c>
      <c r="I16" s="755">
        <f t="shared" si="0"/>
        <v>46589.968000000001</v>
      </c>
    </row>
    <row r="17" spans="1:10">
      <c r="A17" t="s">
        <v>43</v>
      </c>
      <c r="B17" t="s">
        <v>85</v>
      </c>
      <c r="C17">
        <v>562</v>
      </c>
      <c r="D17">
        <v>3</v>
      </c>
      <c r="E17">
        <v>2019</v>
      </c>
      <c r="F17" s="758">
        <v>85827.032000000007</v>
      </c>
      <c r="G17" s="754">
        <v>1447618.5349999999</v>
      </c>
      <c r="H17" t="s">
        <v>244</v>
      </c>
      <c r="I17" s="755">
        <f t="shared" si="0"/>
        <v>85827.032000000007</v>
      </c>
      <c r="J17" s="32"/>
    </row>
    <row r="18" spans="1:10">
      <c r="A18" t="s">
        <v>43</v>
      </c>
      <c r="B18" t="s">
        <v>85</v>
      </c>
      <c r="C18">
        <v>562</v>
      </c>
      <c r="D18">
        <v>4</v>
      </c>
      <c r="E18">
        <v>2019</v>
      </c>
      <c r="F18" s="758">
        <v>706.33399999999995</v>
      </c>
      <c r="G18" s="754">
        <v>8730</v>
      </c>
      <c r="H18" t="s">
        <v>246</v>
      </c>
      <c r="I18" s="755">
        <f t="shared" si="0"/>
        <v>706.33399999999995</v>
      </c>
    </row>
    <row r="19" spans="1:10">
      <c r="A19" t="s">
        <v>43</v>
      </c>
      <c r="B19" t="s">
        <v>472</v>
      </c>
      <c r="C19">
        <v>563</v>
      </c>
      <c r="D19" t="s">
        <v>473</v>
      </c>
      <c r="E19">
        <v>2019</v>
      </c>
      <c r="F19" s="758">
        <v>345.9</v>
      </c>
      <c r="G19" s="754">
        <v>4267.8</v>
      </c>
      <c r="H19" t="s">
        <v>238</v>
      </c>
      <c r="I19" s="755">
        <f t="shared" si="0"/>
        <v>345.9</v>
      </c>
    </row>
    <row r="20" spans="1:10">
      <c r="A20" t="s">
        <v>43</v>
      </c>
      <c r="B20" t="s">
        <v>472</v>
      </c>
      <c r="C20">
        <v>563</v>
      </c>
      <c r="D20" t="s">
        <v>474</v>
      </c>
      <c r="E20">
        <v>2019</v>
      </c>
      <c r="F20" s="758">
        <v>345.9</v>
      </c>
      <c r="G20" s="754">
        <v>4267.8</v>
      </c>
      <c r="H20" t="s">
        <v>238</v>
      </c>
      <c r="I20" s="755">
        <f t="shared" si="0"/>
        <v>345.9</v>
      </c>
    </row>
    <row r="21" spans="1:10">
      <c r="A21" t="s">
        <v>43</v>
      </c>
      <c r="B21" t="s">
        <v>472</v>
      </c>
      <c r="C21">
        <v>563</v>
      </c>
      <c r="D21" t="s">
        <v>475</v>
      </c>
      <c r="E21">
        <v>2019</v>
      </c>
      <c r="F21" s="758">
        <v>342.3</v>
      </c>
      <c r="G21" s="754">
        <v>4225.3</v>
      </c>
      <c r="H21" t="s">
        <v>238</v>
      </c>
      <c r="I21" s="755">
        <f t="shared" si="0"/>
        <v>342.3</v>
      </c>
    </row>
    <row r="22" spans="1:10">
      <c r="A22" t="s">
        <v>43</v>
      </c>
      <c r="B22" t="s">
        <v>472</v>
      </c>
      <c r="C22">
        <v>563</v>
      </c>
      <c r="D22" t="s">
        <v>476</v>
      </c>
      <c r="E22">
        <v>2019</v>
      </c>
      <c r="F22" s="758">
        <v>342.3</v>
      </c>
      <c r="G22" s="754">
        <v>4225.3</v>
      </c>
      <c r="H22" t="s">
        <v>238</v>
      </c>
      <c r="I22" s="755">
        <f t="shared" si="0"/>
        <v>342.3</v>
      </c>
    </row>
    <row r="23" spans="1:10">
      <c r="A23" t="s">
        <v>43</v>
      </c>
      <c r="B23" t="s">
        <v>472</v>
      </c>
      <c r="C23">
        <v>563</v>
      </c>
      <c r="D23" t="s">
        <v>477</v>
      </c>
      <c r="E23">
        <v>2019</v>
      </c>
      <c r="F23" s="758">
        <v>253.8</v>
      </c>
      <c r="G23" s="754">
        <v>3133.8</v>
      </c>
      <c r="H23" t="s">
        <v>238</v>
      </c>
      <c r="I23" s="755">
        <f t="shared" si="0"/>
        <v>253.8</v>
      </c>
    </row>
    <row r="24" spans="1:10">
      <c r="A24" t="s">
        <v>43</v>
      </c>
      <c r="B24" t="s">
        <v>472</v>
      </c>
      <c r="C24">
        <v>563</v>
      </c>
      <c r="D24" t="s">
        <v>478</v>
      </c>
      <c r="E24">
        <v>2019</v>
      </c>
      <c r="F24" s="758">
        <v>253.8</v>
      </c>
      <c r="G24" s="754">
        <v>3133.8</v>
      </c>
      <c r="H24" t="s">
        <v>238</v>
      </c>
      <c r="I24" s="755">
        <f t="shared" si="0"/>
        <v>253.8</v>
      </c>
    </row>
    <row r="25" spans="1:10">
      <c r="A25" t="s">
        <v>43</v>
      </c>
      <c r="B25" t="s">
        <v>472</v>
      </c>
      <c r="C25">
        <v>563</v>
      </c>
      <c r="D25" t="s">
        <v>479</v>
      </c>
      <c r="E25">
        <v>2019</v>
      </c>
      <c r="F25" s="758">
        <v>247.2</v>
      </c>
      <c r="G25" s="754">
        <v>3053.9</v>
      </c>
      <c r="H25" t="s">
        <v>238</v>
      </c>
      <c r="I25" s="755">
        <f t="shared" si="0"/>
        <v>247.2</v>
      </c>
    </row>
    <row r="26" spans="1:10">
      <c r="A26" t="s">
        <v>43</v>
      </c>
      <c r="B26" t="s">
        <v>472</v>
      </c>
      <c r="C26">
        <v>563</v>
      </c>
      <c r="D26" t="s">
        <v>480</v>
      </c>
      <c r="E26">
        <v>2019</v>
      </c>
      <c r="F26" s="758">
        <v>247.2</v>
      </c>
      <c r="G26" s="754">
        <v>3053.9</v>
      </c>
      <c r="H26" t="s">
        <v>238</v>
      </c>
      <c r="I26" s="755">
        <f t="shared" si="0"/>
        <v>247.2</v>
      </c>
    </row>
    <row r="27" spans="1:10">
      <c r="A27" t="s">
        <v>43</v>
      </c>
      <c r="B27" t="s">
        <v>243</v>
      </c>
      <c r="C27">
        <v>568</v>
      </c>
      <c r="D27" t="s">
        <v>245</v>
      </c>
      <c r="E27">
        <v>2019</v>
      </c>
      <c r="F27" s="758">
        <v>80737.877999999997</v>
      </c>
      <c r="G27" s="754">
        <v>769817.02</v>
      </c>
      <c r="H27" t="s">
        <v>246</v>
      </c>
      <c r="I27" s="755">
        <f t="shared" si="0"/>
        <v>80737.877999999997</v>
      </c>
    </row>
    <row r="28" spans="1:10">
      <c r="A28" t="s">
        <v>43</v>
      </c>
      <c r="B28" s="748" t="s">
        <v>243</v>
      </c>
      <c r="C28">
        <v>568</v>
      </c>
      <c r="D28" t="s">
        <v>2948</v>
      </c>
      <c r="E28">
        <v>2019</v>
      </c>
      <c r="F28" s="21">
        <v>338462.76699999999</v>
      </c>
      <c r="G28" s="754">
        <v>5695275.9210000001</v>
      </c>
      <c r="H28" t="s">
        <v>2949</v>
      </c>
      <c r="I28" s="755"/>
      <c r="J28" s="152" t="s">
        <v>3246</v>
      </c>
    </row>
    <row r="29" spans="1:10">
      <c r="A29" t="s">
        <v>43</v>
      </c>
      <c r="B29" t="s">
        <v>383</v>
      </c>
      <c r="C29">
        <v>6156</v>
      </c>
      <c r="D29" t="s">
        <v>258</v>
      </c>
      <c r="E29">
        <v>2019</v>
      </c>
      <c r="F29" s="758">
        <v>13278.42</v>
      </c>
      <c r="G29" s="754">
        <v>217339.37299999999</v>
      </c>
      <c r="H29" t="s">
        <v>246</v>
      </c>
      <c r="I29" s="755">
        <f>F29</f>
        <v>13278.42</v>
      </c>
    </row>
    <row r="30" spans="1:10">
      <c r="A30" t="s">
        <v>43</v>
      </c>
      <c r="B30" t="s">
        <v>383</v>
      </c>
      <c r="C30">
        <v>6156</v>
      </c>
      <c r="D30" t="s">
        <v>1228</v>
      </c>
      <c r="E30">
        <v>2019</v>
      </c>
      <c r="F30" s="758">
        <v>451.37099999999998</v>
      </c>
      <c r="G30" s="754">
        <v>5562.7</v>
      </c>
      <c r="H30" t="s">
        <v>238</v>
      </c>
      <c r="I30" s="755">
        <f>F30</f>
        <v>451.37099999999998</v>
      </c>
    </row>
    <row r="31" spans="1:10">
      <c r="A31" t="s">
        <v>43</v>
      </c>
      <c r="B31" t="s">
        <v>383</v>
      </c>
      <c r="C31">
        <v>6156</v>
      </c>
      <c r="D31" t="s">
        <v>1229</v>
      </c>
      <c r="E31">
        <v>2019</v>
      </c>
      <c r="F31" s="758">
        <v>505.63200000000001</v>
      </c>
      <c r="G31" s="754">
        <v>6233.3029999999999</v>
      </c>
      <c r="H31" t="s">
        <v>238</v>
      </c>
      <c r="I31" s="755">
        <f>F31</f>
        <v>505.63200000000001</v>
      </c>
    </row>
    <row r="32" spans="1:10">
      <c r="A32" t="s">
        <v>43</v>
      </c>
      <c r="B32" t="s">
        <v>383</v>
      </c>
      <c r="C32">
        <v>6156</v>
      </c>
      <c r="D32" t="s">
        <v>1230</v>
      </c>
      <c r="E32">
        <v>2019</v>
      </c>
      <c r="F32" s="758">
        <v>456.822</v>
      </c>
      <c r="G32" s="754">
        <v>5631.357</v>
      </c>
      <c r="H32" t="s">
        <v>238</v>
      </c>
      <c r="I32" s="755">
        <f>F32</f>
        <v>456.822</v>
      </c>
    </row>
    <row r="33" spans="1:10">
      <c r="A33" t="s">
        <v>43</v>
      </c>
      <c r="B33" t="s">
        <v>236</v>
      </c>
      <c r="C33">
        <v>6635</v>
      </c>
      <c r="D33" t="s">
        <v>237</v>
      </c>
      <c r="E33">
        <v>2019</v>
      </c>
      <c r="F33" s="758">
        <v>1523.3789999999999</v>
      </c>
      <c r="G33" s="754">
        <v>23775.72</v>
      </c>
      <c r="H33" t="s">
        <v>238</v>
      </c>
      <c r="I33" s="755">
        <f>F33</f>
        <v>1523.3789999999999</v>
      </c>
    </row>
    <row r="34" spans="1:10">
      <c r="A34" t="s">
        <v>43</v>
      </c>
      <c r="B34" t="s">
        <v>470</v>
      </c>
      <c r="C34">
        <v>10567</v>
      </c>
      <c r="D34" t="s">
        <v>286</v>
      </c>
      <c r="E34">
        <v>2019</v>
      </c>
      <c r="F34" s="754">
        <v>3767.0439999999999</v>
      </c>
      <c r="G34" s="754">
        <v>61821.51</v>
      </c>
      <c r="H34" t="s">
        <v>241</v>
      </c>
      <c r="I34" s="755"/>
      <c r="J34" s="32" t="s">
        <v>2202</v>
      </c>
    </row>
    <row r="35" spans="1:10">
      <c r="A35" t="s">
        <v>43</v>
      </c>
      <c r="B35" t="s">
        <v>247</v>
      </c>
      <c r="C35">
        <v>50498</v>
      </c>
      <c r="D35" t="s">
        <v>52</v>
      </c>
      <c r="E35">
        <v>2019</v>
      </c>
      <c r="F35" s="754">
        <v>3418.7</v>
      </c>
      <c r="G35" s="754">
        <v>57526.697999999997</v>
      </c>
      <c r="H35" t="s">
        <v>241</v>
      </c>
      <c r="I35" s="755"/>
      <c r="J35" s="32" t="s">
        <v>2202</v>
      </c>
    </row>
    <row r="36" spans="1:10">
      <c r="A36" t="s">
        <v>43</v>
      </c>
      <c r="B36" t="s">
        <v>471</v>
      </c>
      <c r="C36">
        <v>54605</v>
      </c>
      <c r="D36">
        <v>1</v>
      </c>
      <c r="E36">
        <v>2019</v>
      </c>
      <c r="F36" s="754">
        <v>71793.17</v>
      </c>
      <c r="G36" s="754">
        <v>1208028.4950000001</v>
      </c>
      <c r="H36" t="s">
        <v>238</v>
      </c>
      <c r="I36" s="755"/>
      <c r="J36" s="32" t="s">
        <v>2206</v>
      </c>
    </row>
    <row r="37" spans="1:10">
      <c r="A37" t="s">
        <v>43</v>
      </c>
      <c r="B37" t="s">
        <v>239</v>
      </c>
      <c r="C37">
        <v>55042</v>
      </c>
      <c r="D37" t="s">
        <v>240</v>
      </c>
      <c r="E37">
        <v>2019</v>
      </c>
      <c r="F37" s="758">
        <v>514471.78899999999</v>
      </c>
      <c r="G37" s="754">
        <v>8657030.0610000007</v>
      </c>
      <c r="H37" t="s">
        <v>241</v>
      </c>
      <c r="I37" s="755">
        <f t="shared" ref="I37:I66" si="1">F37</f>
        <v>514471.78899999999</v>
      </c>
    </row>
    <row r="38" spans="1:10">
      <c r="A38" t="s">
        <v>43</v>
      </c>
      <c r="B38" t="s">
        <v>239</v>
      </c>
      <c r="C38">
        <v>55042</v>
      </c>
      <c r="D38" t="s">
        <v>242</v>
      </c>
      <c r="E38">
        <v>2019</v>
      </c>
      <c r="F38" s="758">
        <v>504830.73300000001</v>
      </c>
      <c r="G38" s="754">
        <v>8494726.5020000003</v>
      </c>
      <c r="H38" t="s">
        <v>241</v>
      </c>
      <c r="I38" s="755">
        <f t="shared" si="1"/>
        <v>504830.73300000001</v>
      </c>
    </row>
    <row r="39" spans="1:10">
      <c r="A39" t="s">
        <v>43</v>
      </c>
      <c r="B39" t="s">
        <v>254</v>
      </c>
      <c r="C39">
        <v>55126</v>
      </c>
      <c r="D39" t="s">
        <v>255</v>
      </c>
      <c r="E39">
        <v>2019</v>
      </c>
      <c r="F39" s="758">
        <v>805288.01199999999</v>
      </c>
      <c r="G39" s="754">
        <v>13550511.120999999</v>
      </c>
      <c r="H39" t="s">
        <v>241</v>
      </c>
      <c r="I39" s="755">
        <f t="shared" si="1"/>
        <v>805288.01199999999</v>
      </c>
    </row>
    <row r="40" spans="1:10">
      <c r="A40" t="s">
        <v>43</v>
      </c>
      <c r="B40" t="s">
        <v>254</v>
      </c>
      <c r="C40">
        <v>55126</v>
      </c>
      <c r="D40" t="s">
        <v>256</v>
      </c>
      <c r="E40">
        <v>2019</v>
      </c>
      <c r="F40" s="758">
        <v>761205.89399999997</v>
      </c>
      <c r="G40" s="754">
        <v>12808719.142999999</v>
      </c>
      <c r="H40" t="s">
        <v>241</v>
      </c>
      <c r="I40" s="755">
        <f t="shared" si="1"/>
        <v>761205.89399999997</v>
      </c>
    </row>
    <row r="41" spans="1:10">
      <c r="A41" t="s">
        <v>43</v>
      </c>
      <c r="B41" t="s">
        <v>249</v>
      </c>
      <c r="C41">
        <v>55149</v>
      </c>
      <c r="D41" t="s">
        <v>250</v>
      </c>
      <c r="E41">
        <v>2019</v>
      </c>
      <c r="F41" s="758">
        <v>803379.87399999995</v>
      </c>
      <c r="G41" s="754">
        <v>13519317.560000001</v>
      </c>
      <c r="H41" t="s">
        <v>241</v>
      </c>
      <c r="I41" s="755">
        <f t="shared" si="1"/>
        <v>803379.87399999995</v>
      </c>
    </row>
    <row r="42" spans="1:10">
      <c r="A42" t="s">
        <v>43</v>
      </c>
      <c r="B42" t="s">
        <v>249</v>
      </c>
      <c r="C42">
        <v>55149</v>
      </c>
      <c r="D42" t="s">
        <v>251</v>
      </c>
      <c r="E42">
        <v>2019</v>
      </c>
      <c r="F42" s="758">
        <v>775964.33799999999</v>
      </c>
      <c r="G42" s="754">
        <v>13058031.288000001</v>
      </c>
      <c r="H42" t="s">
        <v>241</v>
      </c>
      <c r="I42" s="755">
        <f t="shared" si="1"/>
        <v>775964.33799999999</v>
      </c>
    </row>
    <row r="43" spans="1:10">
      <c r="A43" t="s">
        <v>43</v>
      </c>
      <c r="B43" t="s">
        <v>249</v>
      </c>
      <c r="C43">
        <v>55149</v>
      </c>
      <c r="D43" t="s">
        <v>252</v>
      </c>
      <c r="E43">
        <v>2019</v>
      </c>
      <c r="F43" s="758">
        <v>723825.72600000002</v>
      </c>
      <c r="G43" s="754">
        <v>12180606.991</v>
      </c>
      <c r="H43" t="s">
        <v>241</v>
      </c>
      <c r="I43" s="755">
        <f t="shared" si="1"/>
        <v>723825.72600000002</v>
      </c>
    </row>
    <row r="44" spans="1:10">
      <c r="A44" t="s">
        <v>43</v>
      </c>
      <c r="B44" t="s">
        <v>1143</v>
      </c>
      <c r="C44">
        <v>55517</v>
      </c>
      <c r="D44" t="s">
        <v>255</v>
      </c>
      <c r="E44">
        <v>2019</v>
      </c>
      <c r="F44" s="758">
        <v>7359.0619999999999</v>
      </c>
      <c r="G44" s="754">
        <v>123825.71400000001</v>
      </c>
      <c r="H44" t="s">
        <v>238</v>
      </c>
      <c r="I44" s="755">
        <f t="shared" si="1"/>
        <v>7359.0619999999999</v>
      </c>
    </row>
    <row r="45" spans="1:10">
      <c r="A45" t="s">
        <v>43</v>
      </c>
      <c r="B45" t="s">
        <v>1143</v>
      </c>
      <c r="C45">
        <v>55517</v>
      </c>
      <c r="D45" t="s">
        <v>256</v>
      </c>
      <c r="E45">
        <v>2019</v>
      </c>
      <c r="F45" s="758">
        <v>8258.8040000000001</v>
      </c>
      <c r="G45" s="754">
        <v>138949.967</v>
      </c>
      <c r="H45" t="s">
        <v>238</v>
      </c>
      <c r="I45" s="755">
        <f t="shared" si="1"/>
        <v>8258.8040000000001</v>
      </c>
    </row>
    <row r="46" spans="1:10">
      <c r="A46" t="s">
        <v>43</v>
      </c>
      <c r="B46" t="s">
        <v>1143</v>
      </c>
      <c r="C46">
        <v>55517</v>
      </c>
      <c r="D46" t="s">
        <v>259</v>
      </c>
      <c r="E46">
        <v>2019</v>
      </c>
      <c r="F46" s="758">
        <v>8426.5290000000005</v>
      </c>
      <c r="G46" s="754">
        <v>141789.302</v>
      </c>
      <c r="H46" t="s">
        <v>238</v>
      </c>
      <c r="I46" s="755">
        <f t="shared" si="1"/>
        <v>8426.5290000000005</v>
      </c>
    </row>
    <row r="47" spans="1:10">
      <c r="A47" t="s">
        <v>43</v>
      </c>
      <c r="B47" t="s">
        <v>1143</v>
      </c>
      <c r="C47">
        <v>55517</v>
      </c>
      <c r="D47" t="s">
        <v>260</v>
      </c>
      <c r="E47">
        <v>2019</v>
      </c>
      <c r="F47" s="758">
        <v>7763.8789999999999</v>
      </c>
      <c r="G47" s="754">
        <v>130663.973</v>
      </c>
      <c r="H47" t="s">
        <v>238</v>
      </c>
      <c r="I47" s="755">
        <f t="shared" si="1"/>
        <v>7763.8789999999999</v>
      </c>
    </row>
    <row r="48" spans="1:10">
      <c r="A48" t="s">
        <v>43</v>
      </c>
      <c r="B48" t="s">
        <v>1143</v>
      </c>
      <c r="C48">
        <v>55517</v>
      </c>
      <c r="D48" t="s">
        <v>261</v>
      </c>
      <c r="E48">
        <v>2019</v>
      </c>
      <c r="F48" s="758">
        <v>8664.5660000000007</v>
      </c>
      <c r="G48" s="754">
        <v>145794.41399999999</v>
      </c>
      <c r="H48" t="s">
        <v>238</v>
      </c>
      <c r="I48" s="755">
        <f t="shared" si="1"/>
        <v>8664.5660000000007</v>
      </c>
    </row>
    <row r="49" spans="1:10">
      <c r="A49" t="s">
        <v>43</v>
      </c>
      <c r="B49" t="s">
        <v>1143</v>
      </c>
      <c r="C49">
        <v>55517</v>
      </c>
      <c r="D49" t="s">
        <v>2443</v>
      </c>
      <c r="E49">
        <v>2019</v>
      </c>
      <c r="F49" s="758">
        <v>9495.9860000000008</v>
      </c>
      <c r="G49" s="754">
        <v>159788.36799999999</v>
      </c>
      <c r="H49" t="s">
        <v>238</v>
      </c>
      <c r="I49" s="755">
        <f t="shared" si="1"/>
        <v>9495.9860000000008</v>
      </c>
    </row>
    <row r="50" spans="1:10">
      <c r="A50" t="s">
        <v>43</v>
      </c>
      <c r="B50" t="s">
        <v>1143</v>
      </c>
      <c r="C50">
        <v>55517</v>
      </c>
      <c r="D50" t="s">
        <v>2444</v>
      </c>
      <c r="E50">
        <v>2019</v>
      </c>
      <c r="F50" s="758">
        <v>10349.933000000001</v>
      </c>
      <c r="G50" s="754">
        <v>174141.601</v>
      </c>
      <c r="H50" t="s">
        <v>238</v>
      </c>
      <c r="I50" s="755">
        <f t="shared" si="1"/>
        <v>10349.933000000001</v>
      </c>
    </row>
    <row r="51" spans="1:10">
      <c r="A51" t="s">
        <v>43</v>
      </c>
      <c r="B51" t="s">
        <v>2445</v>
      </c>
      <c r="C51">
        <v>56047</v>
      </c>
      <c r="D51">
        <v>1</v>
      </c>
      <c r="E51">
        <v>2019</v>
      </c>
      <c r="F51" s="758">
        <v>1002134.667</v>
      </c>
      <c r="G51" s="754">
        <v>16860399.666000001</v>
      </c>
      <c r="H51" t="s">
        <v>241</v>
      </c>
      <c r="I51" s="755">
        <f t="shared" si="1"/>
        <v>1002134.667</v>
      </c>
    </row>
    <row r="52" spans="1:10">
      <c r="A52" t="s">
        <v>43</v>
      </c>
      <c r="B52" t="s">
        <v>2445</v>
      </c>
      <c r="C52">
        <v>56047</v>
      </c>
      <c r="D52">
        <v>2</v>
      </c>
      <c r="E52">
        <v>2019</v>
      </c>
      <c r="F52" s="758">
        <v>569207.02399999998</v>
      </c>
      <c r="G52" s="754">
        <v>9575842.5769999996</v>
      </c>
      <c r="H52" t="s">
        <v>241</v>
      </c>
      <c r="I52" s="755">
        <f t="shared" si="1"/>
        <v>569207.02399999998</v>
      </c>
    </row>
    <row r="53" spans="1:10">
      <c r="A53" t="s">
        <v>43</v>
      </c>
      <c r="B53" t="s">
        <v>481</v>
      </c>
      <c r="C53">
        <v>56629</v>
      </c>
      <c r="D53">
        <v>10</v>
      </c>
      <c r="E53">
        <v>2019</v>
      </c>
      <c r="F53" s="758">
        <v>6372.9709999999995</v>
      </c>
      <c r="G53" s="754">
        <v>101415.62300000001</v>
      </c>
      <c r="H53" t="s">
        <v>238</v>
      </c>
      <c r="I53" s="755">
        <f t="shared" si="1"/>
        <v>6372.9709999999995</v>
      </c>
    </row>
    <row r="54" spans="1:10">
      <c r="A54" t="s">
        <v>43</v>
      </c>
      <c r="B54" t="s">
        <v>1148</v>
      </c>
      <c r="C54">
        <v>56798</v>
      </c>
      <c r="D54" t="s">
        <v>1149</v>
      </c>
      <c r="E54">
        <v>2019</v>
      </c>
      <c r="F54" s="758">
        <v>481846.18199999997</v>
      </c>
      <c r="G54" s="754">
        <v>8104978.6229999997</v>
      </c>
      <c r="H54" t="s">
        <v>241</v>
      </c>
      <c r="I54" s="755">
        <f t="shared" si="1"/>
        <v>481846.18199999997</v>
      </c>
    </row>
    <row r="55" spans="1:10">
      <c r="A55" t="s">
        <v>43</v>
      </c>
      <c r="B55" t="s">
        <v>1148</v>
      </c>
      <c r="C55">
        <v>56798</v>
      </c>
      <c r="D55" t="s">
        <v>1150</v>
      </c>
      <c r="E55">
        <v>2019</v>
      </c>
      <c r="F55" s="758">
        <v>432886.16200000001</v>
      </c>
      <c r="G55" s="754">
        <v>7282198.8859999999</v>
      </c>
      <c r="H55" t="s">
        <v>241</v>
      </c>
      <c r="I55" s="755">
        <f t="shared" si="1"/>
        <v>432886.16200000001</v>
      </c>
    </row>
    <row r="56" spans="1:10">
      <c r="A56" t="s">
        <v>83</v>
      </c>
      <c r="B56" t="s">
        <v>268</v>
      </c>
      <c r="C56">
        <v>1588</v>
      </c>
      <c r="D56">
        <v>7</v>
      </c>
      <c r="E56">
        <v>2019</v>
      </c>
      <c r="F56" s="758">
        <v>28438.418000000001</v>
      </c>
      <c r="G56" s="754">
        <v>373068.57299999997</v>
      </c>
      <c r="H56" t="s">
        <v>246</v>
      </c>
      <c r="I56" s="755">
        <f t="shared" si="1"/>
        <v>28438.418000000001</v>
      </c>
    </row>
    <row r="57" spans="1:10">
      <c r="A57" t="s">
        <v>83</v>
      </c>
      <c r="B57" t="s">
        <v>268</v>
      </c>
      <c r="C57">
        <v>1588</v>
      </c>
      <c r="D57">
        <v>81</v>
      </c>
      <c r="E57">
        <v>2019</v>
      </c>
      <c r="F57" s="758">
        <v>274216.49099999998</v>
      </c>
      <c r="G57" s="754">
        <v>4614222.1469999999</v>
      </c>
      <c r="H57" t="s">
        <v>241</v>
      </c>
      <c r="I57" s="755">
        <f t="shared" si="1"/>
        <v>274216.49099999998</v>
      </c>
    </row>
    <row r="58" spans="1:10">
      <c r="A58" t="s">
        <v>83</v>
      </c>
      <c r="B58" t="s">
        <v>268</v>
      </c>
      <c r="C58">
        <v>1588</v>
      </c>
      <c r="D58">
        <v>82</v>
      </c>
      <c r="E58">
        <v>2019</v>
      </c>
      <c r="F58" s="758">
        <v>262819.35800000001</v>
      </c>
      <c r="G58" s="754">
        <v>4422412.2659999998</v>
      </c>
      <c r="H58" t="s">
        <v>241</v>
      </c>
      <c r="I58" s="755">
        <f t="shared" si="1"/>
        <v>262819.35800000001</v>
      </c>
    </row>
    <row r="59" spans="1:10">
      <c r="A59" t="s">
        <v>83</v>
      </c>
      <c r="B59" t="s">
        <v>268</v>
      </c>
      <c r="C59">
        <v>1588</v>
      </c>
      <c r="D59">
        <v>93</v>
      </c>
      <c r="E59">
        <v>2019</v>
      </c>
      <c r="F59" s="758">
        <v>217229.09899999999</v>
      </c>
      <c r="G59" s="754">
        <v>3655279.094</v>
      </c>
      <c r="H59" t="s">
        <v>241</v>
      </c>
      <c r="I59" s="755">
        <f t="shared" si="1"/>
        <v>217229.09899999999</v>
      </c>
      <c r="J59" s="32"/>
    </row>
    <row r="60" spans="1:10">
      <c r="A60" t="s">
        <v>83</v>
      </c>
      <c r="B60" t="s">
        <v>268</v>
      </c>
      <c r="C60">
        <v>1588</v>
      </c>
      <c r="D60">
        <v>94</v>
      </c>
      <c r="E60">
        <v>2019</v>
      </c>
      <c r="F60" s="758">
        <v>211533.79800000001</v>
      </c>
      <c r="G60" s="754">
        <v>3559461.4819999998</v>
      </c>
      <c r="H60" t="s">
        <v>241</v>
      </c>
      <c r="I60" s="755">
        <f t="shared" si="1"/>
        <v>211533.79800000001</v>
      </c>
      <c r="J60" s="32"/>
    </row>
    <row r="61" spans="1:10">
      <c r="A61" t="s">
        <v>83</v>
      </c>
      <c r="B61" t="s">
        <v>488</v>
      </c>
      <c r="C61">
        <v>1592</v>
      </c>
      <c r="D61" t="s">
        <v>489</v>
      </c>
      <c r="E61">
        <v>2019</v>
      </c>
      <c r="F61" s="758">
        <v>571.9</v>
      </c>
      <c r="G61" s="754">
        <v>7057.9</v>
      </c>
      <c r="H61" t="s">
        <v>238</v>
      </c>
      <c r="I61" s="755">
        <f t="shared" si="1"/>
        <v>571.9</v>
      </c>
    </row>
    <row r="62" spans="1:10">
      <c r="A62" t="s">
        <v>83</v>
      </c>
      <c r="B62" t="s">
        <v>488</v>
      </c>
      <c r="C62">
        <v>1592</v>
      </c>
      <c r="D62" t="s">
        <v>490</v>
      </c>
      <c r="E62">
        <v>2019</v>
      </c>
      <c r="F62" s="758">
        <v>588.6</v>
      </c>
      <c r="G62" s="754">
        <v>7261.4</v>
      </c>
      <c r="H62" t="s">
        <v>238</v>
      </c>
      <c r="I62" s="755">
        <f t="shared" si="1"/>
        <v>588.6</v>
      </c>
    </row>
    <row r="63" spans="1:10">
      <c r="A63" t="s">
        <v>83</v>
      </c>
      <c r="B63" t="s">
        <v>488</v>
      </c>
      <c r="C63">
        <v>1592</v>
      </c>
      <c r="D63" t="s">
        <v>491</v>
      </c>
      <c r="E63">
        <v>2019</v>
      </c>
      <c r="F63" s="758">
        <v>340.9</v>
      </c>
      <c r="G63" s="754">
        <v>4205.6000000000004</v>
      </c>
      <c r="H63" t="s">
        <v>238</v>
      </c>
      <c r="I63" s="755">
        <f t="shared" si="1"/>
        <v>340.9</v>
      </c>
    </row>
    <row r="64" spans="1:10">
      <c r="A64" t="s">
        <v>83</v>
      </c>
      <c r="B64" t="s">
        <v>488</v>
      </c>
      <c r="C64">
        <v>1592</v>
      </c>
      <c r="D64" t="s">
        <v>492</v>
      </c>
      <c r="E64">
        <v>2019</v>
      </c>
      <c r="F64" s="758">
        <v>253.9</v>
      </c>
      <c r="G64" s="754">
        <v>3130.8</v>
      </c>
      <c r="H64" t="s">
        <v>238</v>
      </c>
      <c r="I64" s="755">
        <f t="shared" si="1"/>
        <v>253.9</v>
      </c>
      <c r="J64" s="32"/>
    </row>
    <row r="65" spans="1:18">
      <c r="A65" t="s">
        <v>83</v>
      </c>
      <c r="B65" t="s">
        <v>488</v>
      </c>
      <c r="C65">
        <v>1592</v>
      </c>
      <c r="D65" t="s">
        <v>493</v>
      </c>
      <c r="E65">
        <v>2019</v>
      </c>
      <c r="F65" s="758">
        <v>461.7</v>
      </c>
      <c r="G65" s="754">
        <v>5692.4</v>
      </c>
      <c r="H65" t="s">
        <v>238</v>
      </c>
      <c r="I65" s="755">
        <f t="shared" si="1"/>
        <v>461.7</v>
      </c>
    </row>
    <row r="66" spans="1:18">
      <c r="A66" t="s">
        <v>83</v>
      </c>
      <c r="B66" t="s">
        <v>488</v>
      </c>
      <c r="C66">
        <v>1592</v>
      </c>
      <c r="D66" t="s">
        <v>494</v>
      </c>
      <c r="E66">
        <v>2019</v>
      </c>
      <c r="F66" s="758">
        <v>322.7</v>
      </c>
      <c r="G66" s="754">
        <v>3981.9</v>
      </c>
      <c r="H66" t="s">
        <v>238</v>
      </c>
      <c r="I66" s="755">
        <f t="shared" si="1"/>
        <v>322.7</v>
      </c>
      <c r="K66" s="16"/>
    </row>
    <row r="67" spans="1:18">
      <c r="A67" t="s">
        <v>83</v>
      </c>
      <c r="B67" t="s">
        <v>1760</v>
      </c>
      <c r="C67">
        <v>1595</v>
      </c>
      <c r="D67">
        <v>2</v>
      </c>
      <c r="E67">
        <v>2019</v>
      </c>
      <c r="F67" s="754">
        <v>1522.11</v>
      </c>
      <c r="G67" s="754">
        <v>25592.645</v>
      </c>
      <c r="H67" t="s">
        <v>253</v>
      </c>
      <c r="I67" s="755"/>
      <c r="J67" s="32" t="s">
        <v>2202</v>
      </c>
      <c r="K67" s="16"/>
    </row>
    <row r="68" spans="1:18">
      <c r="A68" t="s">
        <v>83</v>
      </c>
      <c r="B68" t="s">
        <v>1760</v>
      </c>
      <c r="C68">
        <v>1595</v>
      </c>
      <c r="D68">
        <v>3</v>
      </c>
      <c r="E68">
        <v>2019</v>
      </c>
      <c r="F68" s="754">
        <v>5361.8410000000003</v>
      </c>
      <c r="G68" s="754">
        <v>90232.577000000005</v>
      </c>
      <c r="H68" t="s">
        <v>253</v>
      </c>
      <c r="I68" s="755"/>
      <c r="J68" s="32" t="s">
        <v>2202</v>
      </c>
      <c r="K68" s="32"/>
    </row>
    <row r="69" spans="1:18">
      <c r="A69" t="s">
        <v>83</v>
      </c>
      <c r="B69" t="s">
        <v>1760</v>
      </c>
      <c r="C69">
        <v>1595</v>
      </c>
      <c r="D69">
        <v>4</v>
      </c>
      <c r="E69">
        <v>2019</v>
      </c>
      <c r="F69" s="754">
        <v>816857.40099999995</v>
      </c>
      <c r="G69" s="754">
        <v>13743985.993000001</v>
      </c>
      <c r="H69" t="s">
        <v>241</v>
      </c>
      <c r="I69" s="755"/>
      <c r="J69" s="32" t="s">
        <v>2202</v>
      </c>
      <c r="K69" s="16"/>
    </row>
    <row r="70" spans="1:18">
      <c r="A70" t="s">
        <v>83</v>
      </c>
      <c r="B70" t="s">
        <v>263</v>
      </c>
      <c r="C70">
        <v>1599</v>
      </c>
      <c r="D70">
        <v>1</v>
      </c>
      <c r="E70">
        <v>2019</v>
      </c>
      <c r="F70" s="758">
        <v>26194.699000000001</v>
      </c>
      <c r="G70" s="754">
        <v>322816.92499999999</v>
      </c>
      <c r="H70" t="s">
        <v>253</v>
      </c>
      <c r="I70" s="755">
        <f t="shared" ref="I70:I78" si="2">F70</f>
        <v>26194.699000000001</v>
      </c>
      <c r="K70" s="16"/>
    </row>
    <row r="71" spans="1:18">
      <c r="A71" t="s">
        <v>83</v>
      </c>
      <c r="B71" t="s">
        <v>263</v>
      </c>
      <c r="C71">
        <v>1599</v>
      </c>
      <c r="D71">
        <v>2</v>
      </c>
      <c r="E71">
        <v>2019</v>
      </c>
      <c r="F71" s="758">
        <v>15306.677</v>
      </c>
      <c r="G71" s="754">
        <v>209596.39799999999</v>
      </c>
      <c r="H71" t="s">
        <v>253</v>
      </c>
      <c r="I71" s="755">
        <f t="shared" si="2"/>
        <v>15306.677</v>
      </c>
      <c r="K71" s="18"/>
      <c r="L71" s="35"/>
      <c r="M71" s="18"/>
      <c r="N71" s="36"/>
      <c r="O71" s="18"/>
      <c r="P71" s="18"/>
    </row>
    <row r="72" spans="1:18">
      <c r="A72" t="s">
        <v>83</v>
      </c>
      <c r="B72" t="s">
        <v>263</v>
      </c>
      <c r="C72">
        <v>1599</v>
      </c>
      <c r="D72">
        <v>3</v>
      </c>
      <c r="E72">
        <v>2019</v>
      </c>
      <c r="F72" s="758">
        <v>17740.793000000001</v>
      </c>
      <c r="G72" s="754">
        <v>275187.95899999997</v>
      </c>
      <c r="H72" t="s">
        <v>2950</v>
      </c>
      <c r="I72" s="755">
        <f t="shared" si="2"/>
        <v>17740.793000000001</v>
      </c>
      <c r="K72" s="16"/>
      <c r="L72" s="33"/>
      <c r="M72" s="33"/>
      <c r="N72" s="18"/>
      <c r="O72" s="18"/>
      <c r="P72" s="18"/>
    </row>
    <row r="73" spans="1:18">
      <c r="A73" t="s">
        <v>83</v>
      </c>
      <c r="B73" t="s">
        <v>269</v>
      </c>
      <c r="C73">
        <v>1642</v>
      </c>
      <c r="D73">
        <v>3</v>
      </c>
      <c r="E73">
        <v>2019</v>
      </c>
      <c r="F73" s="758">
        <v>398.38799999999998</v>
      </c>
      <c r="G73" s="754">
        <v>6721.66</v>
      </c>
      <c r="H73" t="s">
        <v>246</v>
      </c>
      <c r="I73" s="755">
        <f t="shared" si="2"/>
        <v>398.38799999999998</v>
      </c>
      <c r="J73" s="32" t="s">
        <v>3249</v>
      </c>
      <c r="K73" s="16"/>
      <c r="L73" s="33"/>
      <c r="M73" s="33"/>
      <c r="N73" s="18"/>
      <c r="O73" s="18"/>
      <c r="P73" s="18"/>
    </row>
    <row r="74" spans="1:18">
      <c r="A74" t="s">
        <v>83</v>
      </c>
      <c r="B74" t="s">
        <v>269</v>
      </c>
      <c r="C74">
        <v>1642</v>
      </c>
      <c r="D74" t="s">
        <v>270</v>
      </c>
      <c r="E74">
        <v>2019</v>
      </c>
      <c r="F74" s="758">
        <v>658.12800000000004</v>
      </c>
      <c r="G74" s="754">
        <v>9439.7559999999994</v>
      </c>
      <c r="H74" t="s">
        <v>238</v>
      </c>
      <c r="I74" s="755">
        <f t="shared" si="2"/>
        <v>658.12800000000004</v>
      </c>
      <c r="J74" s="32" t="s">
        <v>3249</v>
      </c>
      <c r="K74" s="16"/>
      <c r="L74" s="33"/>
      <c r="M74" s="33"/>
      <c r="N74" s="18"/>
      <c r="O74" s="18"/>
      <c r="P74" s="18"/>
    </row>
    <row r="75" spans="1:18">
      <c r="A75" t="s">
        <v>83</v>
      </c>
      <c r="B75" t="s">
        <v>269</v>
      </c>
      <c r="C75">
        <v>1642</v>
      </c>
      <c r="D75" t="s">
        <v>271</v>
      </c>
      <c r="E75">
        <v>2019</v>
      </c>
      <c r="F75" s="758">
        <v>669.75</v>
      </c>
      <c r="G75" s="754">
        <v>9422.0220000000008</v>
      </c>
      <c r="H75" t="s">
        <v>238</v>
      </c>
      <c r="I75" s="755">
        <f t="shared" si="2"/>
        <v>669.75</v>
      </c>
      <c r="J75" s="32" t="s">
        <v>3249</v>
      </c>
      <c r="K75" s="16"/>
      <c r="L75" s="33"/>
      <c r="M75" s="33"/>
      <c r="N75" s="18"/>
      <c r="O75" s="18"/>
      <c r="P75" s="18"/>
    </row>
    <row r="76" spans="1:18">
      <c r="A76" t="s">
        <v>83</v>
      </c>
      <c r="B76" t="s">
        <v>496</v>
      </c>
      <c r="C76">
        <v>1660</v>
      </c>
      <c r="D76">
        <v>3</v>
      </c>
      <c r="E76">
        <v>2019</v>
      </c>
      <c r="F76" s="758">
        <v>3095.5309999999999</v>
      </c>
      <c r="G76" s="754">
        <v>52092.131000000001</v>
      </c>
      <c r="H76" t="s">
        <v>241</v>
      </c>
      <c r="I76" s="755">
        <f t="shared" si="2"/>
        <v>3095.5309999999999</v>
      </c>
      <c r="J76" s="33" t="s">
        <v>2203</v>
      </c>
      <c r="K76" s="16"/>
    </row>
    <row r="77" spans="1:18">
      <c r="A77" t="s">
        <v>83</v>
      </c>
      <c r="B77" t="s">
        <v>496</v>
      </c>
      <c r="C77">
        <v>1660</v>
      </c>
      <c r="D77">
        <v>4</v>
      </c>
      <c r="E77">
        <v>2019</v>
      </c>
      <c r="F77" s="758">
        <v>2941.0940000000001</v>
      </c>
      <c r="G77" s="754">
        <v>47501.294999999998</v>
      </c>
      <c r="H77" t="s">
        <v>238</v>
      </c>
      <c r="I77" s="755">
        <f t="shared" si="2"/>
        <v>2941.0940000000001</v>
      </c>
      <c r="J77" s="33" t="s">
        <v>2203</v>
      </c>
      <c r="K77" s="32"/>
      <c r="L77" s="2"/>
      <c r="M77" s="2"/>
      <c r="N77" s="2"/>
      <c r="O77" s="2"/>
      <c r="P77" s="2"/>
      <c r="Q77" s="2"/>
      <c r="R77" s="2"/>
    </row>
    <row r="78" spans="1:18">
      <c r="A78" t="s">
        <v>83</v>
      </c>
      <c r="B78" t="s">
        <v>496</v>
      </c>
      <c r="C78">
        <v>1660</v>
      </c>
      <c r="D78">
        <v>5</v>
      </c>
      <c r="E78">
        <v>2019</v>
      </c>
      <c r="F78" s="758">
        <v>3831.49</v>
      </c>
      <c r="G78" s="754">
        <v>61372.892999999996</v>
      </c>
      <c r="H78" t="s">
        <v>238</v>
      </c>
      <c r="I78" s="755">
        <f t="shared" si="2"/>
        <v>3831.49</v>
      </c>
      <c r="J78" s="33" t="s">
        <v>2203</v>
      </c>
      <c r="K78" s="152"/>
      <c r="L78" s="2"/>
      <c r="M78" s="2"/>
      <c r="N78" s="2"/>
      <c r="O78" s="2"/>
      <c r="P78" s="2"/>
      <c r="Q78" s="2"/>
      <c r="R78" s="2"/>
    </row>
    <row r="79" spans="1:18">
      <c r="A79" t="s">
        <v>83</v>
      </c>
      <c r="B79" t="s">
        <v>15</v>
      </c>
      <c r="C79">
        <v>1678</v>
      </c>
      <c r="D79">
        <v>2</v>
      </c>
      <c r="E79">
        <v>2019</v>
      </c>
      <c r="F79" s="754">
        <v>1022.8</v>
      </c>
      <c r="G79" s="754">
        <v>15830.4</v>
      </c>
      <c r="H79" t="s">
        <v>238</v>
      </c>
      <c r="I79" s="755"/>
      <c r="J79" s="32" t="s">
        <v>2204</v>
      </c>
      <c r="K79" s="16"/>
      <c r="L79" s="2"/>
      <c r="M79" s="2"/>
      <c r="N79" s="2"/>
      <c r="O79" s="2"/>
      <c r="P79" s="2"/>
      <c r="Q79" s="2"/>
      <c r="R79" s="2"/>
    </row>
    <row r="80" spans="1:18">
      <c r="A80" t="s">
        <v>83</v>
      </c>
      <c r="B80" s="16" t="s">
        <v>16</v>
      </c>
      <c r="C80">
        <v>1682</v>
      </c>
      <c r="D80">
        <v>8</v>
      </c>
      <c r="E80">
        <v>2019</v>
      </c>
      <c r="F80" s="758">
        <v>303.77199999999999</v>
      </c>
      <c r="G80" s="754">
        <v>3753.3220000000001</v>
      </c>
      <c r="H80" t="s">
        <v>253</v>
      </c>
      <c r="I80" s="755">
        <f t="shared" ref="I80:I86" si="3">F80</f>
        <v>303.77199999999999</v>
      </c>
      <c r="J80" s="152" t="s">
        <v>3247</v>
      </c>
      <c r="K80" s="16"/>
      <c r="L80" s="2"/>
      <c r="M80" s="2"/>
      <c r="N80" s="2"/>
      <c r="O80" s="2"/>
      <c r="P80" s="2"/>
      <c r="Q80" s="2"/>
      <c r="R80" s="2"/>
    </row>
    <row r="81" spans="1:18">
      <c r="A81" t="s">
        <v>83</v>
      </c>
      <c r="B81" s="16" t="s">
        <v>16</v>
      </c>
      <c r="C81">
        <v>1682</v>
      </c>
      <c r="D81">
        <v>9</v>
      </c>
      <c r="E81">
        <v>2019</v>
      </c>
      <c r="F81" s="758">
        <v>23371.621999999999</v>
      </c>
      <c r="G81" s="754">
        <v>390006.20199999999</v>
      </c>
      <c r="H81" t="s">
        <v>264</v>
      </c>
      <c r="I81" s="755">
        <f t="shared" si="3"/>
        <v>23371.621999999999</v>
      </c>
      <c r="J81" s="152" t="s">
        <v>3247</v>
      </c>
      <c r="L81" s="2"/>
      <c r="M81" s="2"/>
      <c r="N81" s="2"/>
      <c r="O81" s="2"/>
      <c r="P81" s="2"/>
      <c r="Q81" s="2"/>
      <c r="R81" s="2"/>
    </row>
    <row r="82" spans="1:18">
      <c r="A82" t="s">
        <v>83</v>
      </c>
      <c r="B82" t="s">
        <v>2244</v>
      </c>
      <c r="C82">
        <v>6081</v>
      </c>
      <c r="D82">
        <v>1</v>
      </c>
      <c r="E82">
        <v>2019</v>
      </c>
      <c r="F82" s="758">
        <v>12121.575000000001</v>
      </c>
      <c r="G82" s="754">
        <v>203740.4</v>
      </c>
      <c r="H82" t="s">
        <v>241</v>
      </c>
      <c r="I82" s="755">
        <f t="shared" si="3"/>
        <v>12121.575000000001</v>
      </c>
      <c r="K82" s="152"/>
      <c r="L82" s="2"/>
      <c r="M82" s="2"/>
      <c r="N82" s="2"/>
      <c r="O82" s="2"/>
      <c r="P82" s="2"/>
      <c r="Q82" s="2"/>
      <c r="R82" s="2"/>
    </row>
    <row r="83" spans="1:18">
      <c r="A83" t="s">
        <v>83</v>
      </c>
      <c r="B83" t="s">
        <v>2244</v>
      </c>
      <c r="C83">
        <v>6081</v>
      </c>
      <c r="D83">
        <v>2</v>
      </c>
      <c r="E83">
        <v>2019</v>
      </c>
      <c r="F83" s="758">
        <v>2108.5500000000002</v>
      </c>
      <c r="G83" s="754">
        <v>33038.925000000003</v>
      </c>
      <c r="H83" t="s">
        <v>241</v>
      </c>
      <c r="I83" s="755">
        <f t="shared" si="3"/>
        <v>2108.5500000000002</v>
      </c>
      <c r="K83" s="152"/>
      <c r="L83" s="2"/>
      <c r="M83" s="2"/>
      <c r="N83" s="2"/>
      <c r="O83" s="2"/>
      <c r="P83" s="2"/>
      <c r="Q83" s="2"/>
      <c r="R83" s="2"/>
    </row>
    <row r="84" spans="1:18">
      <c r="A84" t="s">
        <v>83</v>
      </c>
      <c r="B84" t="s">
        <v>2244</v>
      </c>
      <c r="C84">
        <v>6081</v>
      </c>
      <c r="D84">
        <v>3</v>
      </c>
      <c r="E84">
        <v>2019</v>
      </c>
      <c r="F84" s="758">
        <v>11181.275</v>
      </c>
      <c r="G84" s="754">
        <v>187494.17499999999</v>
      </c>
      <c r="H84" t="s">
        <v>241</v>
      </c>
      <c r="I84" s="755">
        <f t="shared" si="3"/>
        <v>11181.275</v>
      </c>
      <c r="K84" s="16"/>
      <c r="L84" s="2"/>
      <c r="M84" s="2"/>
      <c r="N84" s="2"/>
      <c r="O84" s="2"/>
      <c r="P84" s="2"/>
      <c r="Q84" s="2"/>
      <c r="R84" s="2"/>
    </row>
    <row r="85" spans="1:18">
      <c r="A85" t="s">
        <v>83</v>
      </c>
      <c r="B85" t="s">
        <v>2244</v>
      </c>
      <c r="C85">
        <v>6081</v>
      </c>
      <c r="D85">
        <v>4</v>
      </c>
      <c r="E85">
        <v>2019</v>
      </c>
      <c r="F85" s="758">
        <v>1142.5</v>
      </c>
      <c r="G85" s="754">
        <v>14107.9</v>
      </c>
      <c r="H85" t="s">
        <v>238</v>
      </c>
      <c r="I85" s="755">
        <f t="shared" si="3"/>
        <v>1142.5</v>
      </c>
      <c r="J85" s="32"/>
      <c r="K85" s="16"/>
      <c r="L85" s="2"/>
      <c r="M85" s="2"/>
      <c r="N85" s="2"/>
      <c r="O85" s="2"/>
      <c r="P85" s="2"/>
      <c r="Q85" s="2"/>
      <c r="R85" s="2"/>
    </row>
    <row r="86" spans="1:18">
      <c r="A86" t="s">
        <v>83</v>
      </c>
      <c r="B86" t="s">
        <v>2244</v>
      </c>
      <c r="C86">
        <v>6081</v>
      </c>
      <c r="D86">
        <v>5</v>
      </c>
      <c r="E86">
        <v>2019</v>
      </c>
      <c r="F86" s="758">
        <v>939.7</v>
      </c>
      <c r="G86" s="754">
        <v>11601.1</v>
      </c>
      <c r="H86" t="s">
        <v>238</v>
      </c>
      <c r="I86" s="755">
        <f t="shared" si="3"/>
        <v>939.7</v>
      </c>
      <c r="J86" s="32"/>
      <c r="K86" s="152"/>
      <c r="L86" s="2"/>
      <c r="M86" s="2"/>
      <c r="N86" s="2"/>
      <c r="O86" s="2"/>
      <c r="P86" s="2"/>
      <c r="Q86" s="2"/>
      <c r="R86" s="2"/>
    </row>
    <row r="87" spans="1:18">
      <c r="A87" t="s">
        <v>83</v>
      </c>
      <c r="B87" t="s">
        <v>2956</v>
      </c>
      <c r="C87">
        <v>10176</v>
      </c>
      <c r="D87" t="s">
        <v>292</v>
      </c>
      <c r="E87">
        <v>2019</v>
      </c>
      <c r="F87" s="21">
        <v>347.5</v>
      </c>
      <c r="G87" s="754">
        <v>4288.8</v>
      </c>
      <c r="H87" t="s">
        <v>238</v>
      </c>
      <c r="I87" s="755"/>
      <c r="J87" s="152" t="s">
        <v>3246</v>
      </c>
      <c r="K87" s="152"/>
      <c r="L87" s="2"/>
      <c r="M87" s="2"/>
      <c r="N87" s="2"/>
      <c r="O87" s="2"/>
      <c r="P87" s="2"/>
      <c r="Q87" s="2"/>
      <c r="R87" s="2"/>
    </row>
    <row r="88" spans="1:18">
      <c r="A88" t="s">
        <v>83</v>
      </c>
      <c r="B88" t="s">
        <v>2956</v>
      </c>
      <c r="C88">
        <v>10176</v>
      </c>
      <c r="D88" t="s">
        <v>293</v>
      </c>
      <c r="E88">
        <v>2019</v>
      </c>
      <c r="F88" s="21">
        <v>180.8</v>
      </c>
      <c r="G88" s="754">
        <v>2229.6</v>
      </c>
      <c r="H88" t="s">
        <v>238</v>
      </c>
      <c r="I88" s="755"/>
      <c r="J88" s="152" t="s">
        <v>3246</v>
      </c>
      <c r="K88" s="18"/>
      <c r="L88" s="18"/>
      <c r="M88" s="18"/>
      <c r="N88" s="18"/>
      <c r="O88" s="18"/>
      <c r="P88" s="18"/>
      <c r="Q88" s="2"/>
      <c r="R88" s="2"/>
    </row>
    <row r="89" spans="1:18">
      <c r="A89" t="s">
        <v>83</v>
      </c>
      <c r="B89" t="s">
        <v>262</v>
      </c>
      <c r="C89">
        <v>10307</v>
      </c>
      <c r="D89">
        <v>1</v>
      </c>
      <c r="E89">
        <v>2019</v>
      </c>
      <c r="F89" s="758">
        <v>11294.032999999999</v>
      </c>
      <c r="G89" s="754">
        <v>188717.18100000001</v>
      </c>
      <c r="H89" t="s">
        <v>241</v>
      </c>
      <c r="I89" s="755">
        <f>F89</f>
        <v>11294.032999999999</v>
      </c>
      <c r="J89" s="32"/>
      <c r="K89" s="18"/>
      <c r="L89" s="18"/>
      <c r="M89" s="18"/>
      <c r="N89" s="18"/>
      <c r="O89" s="18"/>
      <c r="P89" s="18"/>
      <c r="Q89" s="2"/>
      <c r="R89" s="2"/>
    </row>
    <row r="90" spans="1:18">
      <c r="A90" t="s">
        <v>83</v>
      </c>
      <c r="B90" t="s">
        <v>262</v>
      </c>
      <c r="C90">
        <v>10307</v>
      </c>
      <c r="D90">
        <v>2</v>
      </c>
      <c r="E90">
        <v>2019</v>
      </c>
      <c r="F90" s="758">
        <v>16605.73</v>
      </c>
      <c r="G90" s="754">
        <v>278086.74400000001</v>
      </c>
      <c r="H90" t="s">
        <v>241</v>
      </c>
      <c r="I90" s="755">
        <f>F90</f>
        <v>16605.73</v>
      </c>
      <c r="K90" s="18"/>
      <c r="L90" s="18"/>
      <c r="M90" s="18"/>
      <c r="N90" s="18"/>
      <c r="O90" s="18"/>
      <c r="P90" s="18"/>
      <c r="Q90" s="2"/>
      <c r="R90" s="2"/>
    </row>
    <row r="91" spans="1:18">
      <c r="A91" t="s">
        <v>83</v>
      </c>
      <c r="B91" t="s">
        <v>487</v>
      </c>
      <c r="C91">
        <v>10726</v>
      </c>
      <c r="D91">
        <v>1</v>
      </c>
      <c r="E91">
        <v>2019</v>
      </c>
      <c r="F91" s="21">
        <v>75680.175000000003</v>
      </c>
      <c r="G91" s="754">
        <v>1273502.3</v>
      </c>
      <c r="H91" t="s">
        <v>241</v>
      </c>
      <c r="I91" s="755"/>
      <c r="J91" s="152" t="s">
        <v>3250</v>
      </c>
      <c r="K91" s="15"/>
      <c r="L91" s="18"/>
      <c r="M91" s="15"/>
      <c r="N91" s="18"/>
      <c r="O91" s="33"/>
      <c r="P91" s="18"/>
      <c r="Q91" s="2"/>
      <c r="R91" s="2"/>
    </row>
    <row r="92" spans="1:18">
      <c r="A92" t="s">
        <v>83</v>
      </c>
      <c r="B92" t="s">
        <v>487</v>
      </c>
      <c r="C92">
        <v>10726</v>
      </c>
      <c r="D92">
        <v>2</v>
      </c>
      <c r="E92">
        <v>2019</v>
      </c>
      <c r="F92" s="21">
        <v>66849.324999999997</v>
      </c>
      <c r="G92" s="754">
        <v>1124875.675</v>
      </c>
      <c r="H92" t="s">
        <v>241</v>
      </c>
      <c r="I92" s="755"/>
      <c r="J92" s="152" t="s">
        <v>3250</v>
      </c>
      <c r="K92" s="18"/>
      <c r="L92" s="2"/>
      <c r="M92" s="2"/>
      <c r="N92" s="2"/>
      <c r="O92" s="2"/>
      <c r="P92" s="2"/>
      <c r="Q92" s="2"/>
      <c r="R92" s="2"/>
    </row>
    <row r="93" spans="1:18">
      <c r="A93" t="s">
        <v>83</v>
      </c>
      <c r="B93" t="s">
        <v>484</v>
      </c>
      <c r="C93">
        <v>10823</v>
      </c>
      <c r="D93" t="s">
        <v>485</v>
      </c>
      <c r="E93">
        <v>2019</v>
      </c>
      <c r="F93" s="754">
        <v>4164.68</v>
      </c>
      <c r="G93" s="754">
        <v>51337.953999999998</v>
      </c>
      <c r="H93" t="s">
        <v>238</v>
      </c>
      <c r="I93" s="755"/>
      <c r="J93" s="32" t="s">
        <v>2205</v>
      </c>
      <c r="K93" s="18"/>
      <c r="L93" s="2"/>
      <c r="M93" s="2"/>
      <c r="N93" s="2"/>
      <c r="O93" s="2"/>
      <c r="P93" s="2"/>
      <c r="Q93" s="2"/>
      <c r="R93" s="2"/>
    </row>
    <row r="94" spans="1:18">
      <c r="A94" t="s">
        <v>83</v>
      </c>
      <c r="B94" t="s">
        <v>484</v>
      </c>
      <c r="C94">
        <v>10823</v>
      </c>
      <c r="D94" t="s">
        <v>486</v>
      </c>
      <c r="E94">
        <v>2019</v>
      </c>
      <c r="F94" s="754">
        <v>4135.01</v>
      </c>
      <c r="G94" s="754">
        <v>50975.673999999999</v>
      </c>
      <c r="H94" t="s">
        <v>238</v>
      </c>
      <c r="I94" s="755"/>
      <c r="J94" s="32" t="s">
        <v>2205</v>
      </c>
      <c r="K94" s="18"/>
      <c r="L94" s="2"/>
      <c r="M94" s="2"/>
      <c r="N94" s="2"/>
      <c r="O94" s="2"/>
      <c r="P94" s="2"/>
      <c r="Q94" s="2"/>
      <c r="R94" s="2"/>
    </row>
    <row r="95" spans="1:18">
      <c r="A95" t="s">
        <v>83</v>
      </c>
      <c r="B95" t="s">
        <v>495</v>
      </c>
      <c r="C95">
        <v>50002</v>
      </c>
      <c r="D95">
        <v>1</v>
      </c>
      <c r="E95">
        <v>2019</v>
      </c>
      <c r="F95" s="758">
        <v>13746.538</v>
      </c>
      <c r="G95" s="754">
        <v>230694.68700000001</v>
      </c>
      <c r="H95" t="s">
        <v>241</v>
      </c>
      <c r="I95" s="755">
        <f>F95</f>
        <v>13746.538</v>
      </c>
      <c r="J95" s="32"/>
      <c r="K95" s="18"/>
      <c r="L95" s="2"/>
      <c r="M95" s="2"/>
      <c r="N95" s="2"/>
      <c r="O95" s="2"/>
      <c r="P95" s="2"/>
      <c r="Q95" s="2"/>
      <c r="R95" s="2"/>
    </row>
    <row r="96" spans="1:18">
      <c r="A96" t="s">
        <v>83</v>
      </c>
      <c r="B96" t="s">
        <v>495</v>
      </c>
      <c r="C96">
        <v>50002</v>
      </c>
      <c r="D96">
        <v>2</v>
      </c>
      <c r="E96">
        <v>2019</v>
      </c>
      <c r="F96" s="758">
        <v>14278.284</v>
      </c>
      <c r="G96" s="754">
        <v>239436.152</v>
      </c>
      <c r="H96" t="s">
        <v>241</v>
      </c>
      <c r="I96" s="755">
        <f>F96</f>
        <v>14278.284</v>
      </c>
      <c r="K96" s="18"/>
      <c r="L96" s="2"/>
      <c r="M96" s="2"/>
      <c r="N96" s="2"/>
      <c r="O96" s="2"/>
      <c r="P96" s="2"/>
      <c r="Q96" s="2"/>
      <c r="R96" s="2"/>
    </row>
    <row r="97" spans="1:18">
      <c r="A97" t="s">
        <v>83</v>
      </c>
      <c r="B97" t="s">
        <v>495</v>
      </c>
      <c r="C97">
        <v>50002</v>
      </c>
      <c r="D97">
        <v>3</v>
      </c>
      <c r="E97">
        <v>2019</v>
      </c>
      <c r="F97" s="758">
        <v>14296.299000000001</v>
      </c>
      <c r="G97" s="754">
        <v>240107.46</v>
      </c>
      <c r="H97" t="s">
        <v>241</v>
      </c>
      <c r="I97" s="755">
        <f>F97</f>
        <v>14296.299000000001</v>
      </c>
      <c r="K97" s="18"/>
      <c r="L97" s="2"/>
      <c r="M97" s="2"/>
      <c r="N97" s="2"/>
      <c r="O97" s="2"/>
      <c r="P97" s="2"/>
      <c r="Q97" s="2"/>
      <c r="R97" s="2"/>
    </row>
    <row r="98" spans="1:18">
      <c r="A98" t="s">
        <v>83</v>
      </c>
      <c r="B98" t="s">
        <v>265</v>
      </c>
      <c r="C98">
        <v>52026</v>
      </c>
      <c r="D98">
        <v>1</v>
      </c>
      <c r="E98">
        <v>2019</v>
      </c>
      <c r="F98" s="754">
        <v>24255.557000000001</v>
      </c>
      <c r="G98" s="754">
        <v>407810.94099999999</v>
      </c>
      <c r="H98" t="s">
        <v>241</v>
      </c>
      <c r="I98" s="755"/>
      <c r="J98" s="32" t="s">
        <v>2204</v>
      </c>
      <c r="K98" s="16"/>
    </row>
    <row r="99" spans="1:18">
      <c r="A99" t="s">
        <v>83</v>
      </c>
      <c r="B99" t="s">
        <v>2010</v>
      </c>
      <c r="C99">
        <v>54586</v>
      </c>
      <c r="D99">
        <v>2</v>
      </c>
      <c r="E99">
        <v>2019</v>
      </c>
      <c r="F99" s="758">
        <v>7443.9210000000003</v>
      </c>
      <c r="G99" s="754">
        <v>124135.724</v>
      </c>
      <c r="H99" t="s">
        <v>241</v>
      </c>
      <c r="I99" s="755">
        <f t="shared" ref="I99:I109" si="4">F99</f>
        <v>7443.9210000000003</v>
      </c>
      <c r="J99" s="32"/>
    </row>
    <row r="100" spans="1:18">
      <c r="A100" t="s">
        <v>83</v>
      </c>
      <c r="B100" t="s">
        <v>1761</v>
      </c>
      <c r="C100">
        <v>54805</v>
      </c>
      <c r="D100">
        <v>1</v>
      </c>
      <c r="E100">
        <v>2019</v>
      </c>
      <c r="F100" s="758">
        <v>107838.20299999999</v>
      </c>
      <c r="G100" s="754">
        <v>1814557.2069999999</v>
      </c>
      <c r="H100" t="s">
        <v>241</v>
      </c>
      <c r="I100" s="755">
        <f t="shared" si="4"/>
        <v>107838.20299999999</v>
      </c>
    </row>
    <row r="101" spans="1:18">
      <c r="A101" t="s">
        <v>83</v>
      </c>
      <c r="B101" t="s">
        <v>266</v>
      </c>
      <c r="C101">
        <v>55026</v>
      </c>
      <c r="D101">
        <v>1</v>
      </c>
      <c r="E101">
        <v>2019</v>
      </c>
      <c r="F101" s="758">
        <v>128284.989</v>
      </c>
      <c r="G101" s="754">
        <v>2158633.781</v>
      </c>
      <c r="H101" t="s">
        <v>241</v>
      </c>
      <c r="I101" s="755">
        <f t="shared" si="4"/>
        <v>128284.989</v>
      </c>
    </row>
    <row r="102" spans="1:18">
      <c r="A102" t="s">
        <v>83</v>
      </c>
      <c r="B102" t="s">
        <v>166</v>
      </c>
      <c r="C102">
        <v>55041</v>
      </c>
      <c r="D102">
        <v>1</v>
      </c>
      <c r="E102">
        <v>2019</v>
      </c>
      <c r="F102" s="758">
        <v>162271.101</v>
      </c>
      <c r="G102" s="754">
        <v>2730559.0780000002</v>
      </c>
      <c r="H102" t="s">
        <v>241</v>
      </c>
      <c r="I102" s="755">
        <f t="shared" si="4"/>
        <v>162271.101</v>
      </c>
    </row>
    <row r="103" spans="1:18">
      <c r="A103" t="s">
        <v>83</v>
      </c>
      <c r="B103" t="s">
        <v>267</v>
      </c>
      <c r="C103">
        <v>55079</v>
      </c>
      <c r="D103">
        <v>1</v>
      </c>
      <c r="E103">
        <v>2019</v>
      </c>
      <c r="F103" s="758">
        <v>388418.08600000001</v>
      </c>
      <c r="G103" s="754">
        <v>6535848.6679999996</v>
      </c>
      <c r="H103" t="s">
        <v>241</v>
      </c>
      <c r="I103" s="755">
        <f t="shared" si="4"/>
        <v>388418.08600000001</v>
      </c>
      <c r="J103" s="32"/>
    </row>
    <row r="104" spans="1:18">
      <c r="A104" t="s">
        <v>83</v>
      </c>
      <c r="B104" t="s">
        <v>482</v>
      </c>
      <c r="C104">
        <v>55211</v>
      </c>
      <c r="D104">
        <v>1</v>
      </c>
      <c r="E104">
        <v>2019</v>
      </c>
      <c r="F104" s="758">
        <v>395200.66100000002</v>
      </c>
      <c r="G104" s="754">
        <v>6649962.4720000001</v>
      </c>
      <c r="H104" t="s">
        <v>241</v>
      </c>
      <c r="I104" s="755">
        <f t="shared" si="4"/>
        <v>395200.66100000002</v>
      </c>
    </row>
    <row r="105" spans="1:18">
      <c r="A105" t="s">
        <v>83</v>
      </c>
      <c r="B105" t="s">
        <v>482</v>
      </c>
      <c r="C105">
        <v>55211</v>
      </c>
      <c r="D105">
        <v>2</v>
      </c>
      <c r="E105">
        <v>2019</v>
      </c>
      <c r="F105" s="758">
        <v>363994.842</v>
      </c>
      <c r="G105" s="754">
        <v>6124835.5080000004</v>
      </c>
      <c r="H105" t="s">
        <v>241</v>
      </c>
      <c r="I105" s="755">
        <f t="shared" si="4"/>
        <v>363994.842</v>
      </c>
    </row>
    <row r="106" spans="1:18">
      <c r="A106" t="s">
        <v>83</v>
      </c>
      <c r="B106" t="s">
        <v>483</v>
      </c>
      <c r="C106">
        <v>55212</v>
      </c>
      <c r="D106">
        <v>1</v>
      </c>
      <c r="E106">
        <v>2019</v>
      </c>
      <c r="F106" s="758">
        <v>357068.29399999999</v>
      </c>
      <c r="G106" s="754">
        <v>6008342.9850000003</v>
      </c>
      <c r="H106" t="s">
        <v>241</v>
      </c>
      <c r="I106" s="755">
        <f t="shared" si="4"/>
        <v>357068.29399999999</v>
      </c>
      <c r="J106" s="32"/>
    </row>
    <row r="107" spans="1:18">
      <c r="A107" t="s">
        <v>83</v>
      </c>
      <c r="B107" t="s">
        <v>483</v>
      </c>
      <c r="C107">
        <v>55212</v>
      </c>
      <c r="D107">
        <v>2</v>
      </c>
      <c r="E107">
        <v>2019</v>
      </c>
      <c r="F107" s="758">
        <v>383563.73300000001</v>
      </c>
      <c r="G107" s="754">
        <v>6454241.7960000001</v>
      </c>
      <c r="H107" t="s">
        <v>241</v>
      </c>
      <c r="I107" s="755">
        <f t="shared" si="4"/>
        <v>383563.73300000001</v>
      </c>
      <c r="J107" s="32"/>
    </row>
    <row r="108" spans="1:18">
      <c r="A108" t="s">
        <v>83</v>
      </c>
      <c r="B108" t="s">
        <v>1904</v>
      </c>
      <c r="C108">
        <v>55317</v>
      </c>
      <c r="D108">
        <v>11</v>
      </c>
      <c r="E108">
        <v>2019</v>
      </c>
      <c r="F108" s="758">
        <v>1023164.231</v>
      </c>
      <c r="G108" s="754">
        <v>17206138.238000002</v>
      </c>
      <c r="H108" t="s">
        <v>241</v>
      </c>
      <c r="I108" s="755">
        <f t="shared" si="4"/>
        <v>1023164.231</v>
      </c>
    </row>
    <row r="109" spans="1:18">
      <c r="A109" t="s">
        <v>83</v>
      </c>
      <c r="B109" t="s">
        <v>1904</v>
      </c>
      <c r="C109">
        <v>55317</v>
      </c>
      <c r="D109">
        <v>12</v>
      </c>
      <c r="E109">
        <v>2019</v>
      </c>
      <c r="F109" s="758">
        <v>919723.33600000001</v>
      </c>
      <c r="G109" s="754">
        <v>15474646.043</v>
      </c>
      <c r="H109" t="s">
        <v>241</v>
      </c>
      <c r="I109" s="755">
        <f t="shared" si="4"/>
        <v>919723.33600000001</v>
      </c>
    </row>
    <row r="110" spans="1:18">
      <c r="A110" t="s">
        <v>83</v>
      </c>
      <c r="B110" s="748" t="s">
        <v>2951</v>
      </c>
      <c r="C110">
        <v>59882</v>
      </c>
      <c r="D110" t="s">
        <v>2952</v>
      </c>
      <c r="E110">
        <v>2019</v>
      </c>
      <c r="F110" s="21">
        <v>18097.582999999999</v>
      </c>
      <c r="G110" s="754">
        <v>295757.60399999999</v>
      </c>
      <c r="H110" t="s">
        <v>2953</v>
      </c>
      <c r="I110" s="755"/>
      <c r="J110" s="152" t="s">
        <v>3246</v>
      </c>
    </row>
    <row r="111" spans="1:18">
      <c r="A111" t="s">
        <v>83</v>
      </c>
      <c r="B111" s="748" t="s">
        <v>2951</v>
      </c>
      <c r="C111">
        <v>59882</v>
      </c>
      <c r="D111" t="s">
        <v>2954</v>
      </c>
      <c r="E111">
        <v>2019</v>
      </c>
      <c r="F111" s="21">
        <v>16637.858</v>
      </c>
      <c r="G111" s="754">
        <v>269562.17700000003</v>
      </c>
      <c r="H111" t="s">
        <v>2955</v>
      </c>
      <c r="I111" s="755"/>
      <c r="J111" s="152" t="s">
        <v>3246</v>
      </c>
    </row>
    <row r="112" spans="1:18">
      <c r="A112" t="s">
        <v>83</v>
      </c>
      <c r="B112" s="748" t="s">
        <v>2446</v>
      </c>
      <c r="C112">
        <v>60903</v>
      </c>
      <c r="D112">
        <v>1</v>
      </c>
      <c r="E112">
        <v>2019</v>
      </c>
      <c r="F112" s="758">
        <v>129381.159</v>
      </c>
      <c r="G112" s="754">
        <v>2177078.2039999999</v>
      </c>
      <c r="H112" t="s">
        <v>241</v>
      </c>
      <c r="I112" s="755">
        <f>F112</f>
        <v>129381.159</v>
      </c>
    </row>
    <row r="113" spans="1:10">
      <c r="A113" t="s">
        <v>83</v>
      </c>
      <c r="B113" s="748" t="s">
        <v>2446</v>
      </c>
      <c r="C113">
        <v>60903</v>
      </c>
      <c r="D113">
        <v>2</v>
      </c>
      <c r="E113">
        <v>2019</v>
      </c>
      <c r="F113" s="758">
        <v>105781.393</v>
      </c>
      <c r="G113" s="754">
        <v>1779975.548</v>
      </c>
      <c r="H113" t="s">
        <v>241</v>
      </c>
      <c r="I113" s="755">
        <f>F113</f>
        <v>105781.393</v>
      </c>
    </row>
    <row r="114" spans="1:10">
      <c r="A114" t="s">
        <v>92</v>
      </c>
      <c r="B114" t="s">
        <v>4</v>
      </c>
      <c r="C114">
        <v>1507</v>
      </c>
      <c r="D114">
        <v>3</v>
      </c>
      <c r="E114">
        <v>2019</v>
      </c>
      <c r="F114" s="758">
        <v>3293.181</v>
      </c>
      <c r="G114" s="754">
        <v>39213.19</v>
      </c>
      <c r="H114" t="s">
        <v>246</v>
      </c>
      <c r="I114" s="755">
        <f>F114</f>
        <v>3293.181</v>
      </c>
      <c r="J114" s="152" t="s">
        <v>3248</v>
      </c>
    </row>
    <row r="115" spans="1:10">
      <c r="A115" t="s">
        <v>92</v>
      </c>
      <c r="B115" t="s">
        <v>4</v>
      </c>
      <c r="C115">
        <v>1507</v>
      </c>
      <c r="D115">
        <v>4</v>
      </c>
      <c r="E115">
        <v>2019</v>
      </c>
      <c r="F115" s="758">
        <v>6842.9889999999996</v>
      </c>
      <c r="G115" s="754">
        <v>83009.176000000007</v>
      </c>
      <c r="H115" t="s">
        <v>253</v>
      </c>
      <c r="I115" s="755">
        <f>F115</f>
        <v>6842.9889999999996</v>
      </c>
      <c r="J115" s="152" t="s">
        <v>3248</v>
      </c>
    </row>
    <row r="116" spans="1:10">
      <c r="A116" t="s">
        <v>92</v>
      </c>
      <c r="B116" t="s">
        <v>1770</v>
      </c>
      <c r="C116">
        <v>50243</v>
      </c>
      <c r="D116" t="s">
        <v>273</v>
      </c>
      <c r="E116">
        <v>2019</v>
      </c>
      <c r="F116" s="754">
        <v>1312.8989999999999</v>
      </c>
      <c r="G116" s="754">
        <v>20689.55</v>
      </c>
      <c r="H116" t="s">
        <v>241</v>
      </c>
      <c r="I116" s="755"/>
      <c r="J116" s="32" t="s">
        <v>2207</v>
      </c>
    </row>
    <row r="117" spans="1:10">
      <c r="A117" t="s">
        <v>92</v>
      </c>
      <c r="B117" t="s">
        <v>272</v>
      </c>
      <c r="C117">
        <v>55031</v>
      </c>
      <c r="D117" t="s">
        <v>255</v>
      </c>
      <c r="E117">
        <v>2019</v>
      </c>
      <c r="F117" s="754">
        <v>115566.806</v>
      </c>
      <c r="G117" s="754">
        <v>1944238.9269999999</v>
      </c>
      <c r="H117" t="s">
        <v>238</v>
      </c>
      <c r="I117" s="755"/>
      <c r="J117" s="32" t="s">
        <v>2202</v>
      </c>
    </row>
    <row r="118" spans="1:10">
      <c r="A118" t="s">
        <v>92</v>
      </c>
      <c r="B118" t="s">
        <v>272</v>
      </c>
      <c r="C118">
        <v>55031</v>
      </c>
      <c r="D118" t="s">
        <v>256</v>
      </c>
      <c r="E118">
        <v>2019</v>
      </c>
      <c r="F118" s="754">
        <v>96365.823999999993</v>
      </c>
      <c r="G118" s="754">
        <v>1620814.953</v>
      </c>
      <c r="H118" t="s">
        <v>238</v>
      </c>
      <c r="I118" s="755"/>
      <c r="J118" s="32" t="s">
        <v>2202</v>
      </c>
    </row>
    <row r="119" spans="1:10">
      <c r="A119" t="s">
        <v>92</v>
      </c>
      <c r="B119" t="s">
        <v>272</v>
      </c>
      <c r="C119">
        <v>55031</v>
      </c>
      <c r="D119" t="s">
        <v>259</v>
      </c>
      <c r="E119">
        <v>2019</v>
      </c>
      <c r="F119" s="754">
        <v>36103.26</v>
      </c>
      <c r="G119" s="754">
        <v>607034.85600000003</v>
      </c>
      <c r="H119" t="s">
        <v>238</v>
      </c>
      <c r="I119" s="755"/>
      <c r="J119" s="32" t="s">
        <v>2202</v>
      </c>
    </row>
    <row r="120" spans="1:10">
      <c r="A120" t="s">
        <v>92</v>
      </c>
      <c r="B120" t="s">
        <v>171</v>
      </c>
      <c r="C120">
        <v>55068</v>
      </c>
      <c r="D120">
        <v>1</v>
      </c>
      <c r="E120">
        <v>2019</v>
      </c>
      <c r="F120" s="758">
        <v>52962.500999999997</v>
      </c>
      <c r="G120" s="754">
        <v>891173.478</v>
      </c>
      <c r="H120" t="s">
        <v>241</v>
      </c>
      <c r="I120" s="755">
        <f t="shared" ref="I120:I126" si="5">F120</f>
        <v>52962.500999999997</v>
      </c>
    </row>
    <row r="121" spans="1:10">
      <c r="A121" t="s">
        <v>92</v>
      </c>
      <c r="B121" t="s">
        <v>171</v>
      </c>
      <c r="C121">
        <v>55068</v>
      </c>
      <c r="D121">
        <v>2</v>
      </c>
      <c r="E121">
        <v>2019</v>
      </c>
      <c r="F121" s="758">
        <v>72136.342999999993</v>
      </c>
      <c r="G121" s="754">
        <v>1213799.93</v>
      </c>
      <c r="H121" t="s">
        <v>241</v>
      </c>
      <c r="I121" s="755">
        <f t="shared" si="5"/>
        <v>72136.342999999993</v>
      </c>
    </row>
    <row r="122" spans="1:10">
      <c r="A122" t="s">
        <v>92</v>
      </c>
      <c r="B122" t="s">
        <v>175</v>
      </c>
      <c r="C122">
        <v>55100</v>
      </c>
      <c r="D122">
        <v>1</v>
      </c>
      <c r="E122">
        <v>2019</v>
      </c>
      <c r="F122" s="758">
        <v>29422.687000000002</v>
      </c>
      <c r="G122" s="754">
        <v>495106.777</v>
      </c>
      <c r="H122" t="s">
        <v>241</v>
      </c>
      <c r="I122" s="755">
        <f t="shared" si="5"/>
        <v>29422.687000000002</v>
      </c>
      <c r="J122" s="32"/>
    </row>
    <row r="123" spans="1:10">
      <c r="A123" t="s">
        <v>92</v>
      </c>
      <c r="B123" t="s">
        <v>186</v>
      </c>
      <c r="C123">
        <v>55294</v>
      </c>
      <c r="D123">
        <v>1</v>
      </c>
      <c r="E123">
        <v>2019</v>
      </c>
      <c r="F123" s="758">
        <v>194730.94099999999</v>
      </c>
      <c r="G123" s="754">
        <v>3276746.9109999998</v>
      </c>
      <c r="H123" t="s">
        <v>241</v>
      </c>
      <c r="I123" s="755">
        <f t="shared" si="5"/>
        <v>194730.94099999999</v>
      </c>
      <c r="J123" s="32"/>
    </row>
    <row r="124" spans="1:10">
      <c r="A124" t="s">
        <v>92</v>
      </c>
      <c r="B124" t="s">
        <v>186</v>
      </c>
      <c r="C124">
        <v>55294</v>
      </c>
      <c r="D124">
        <v>2</v>
      </c>
      <c r="E124">
        <v>2019</v>
      </c>
      <c r="F124" s="758">
        <v>196091.842</v>
      </c>
      <c r="G124" s="754">
        <v>3299593.0440000002</v>
      </c>
      <c r="H124" t="s">
        <v>241</v>
      </c>
      <c r="I124" s="755">
        <f t="shared" si="5"/>
        <v>196091.842</v>
      </c>
    </row>
    <row r="125" spans="1:10">
      <c r="A125" t="s">
        <v>98</v>
      </c>
      <c r="B125" t="s">
        <v>103</v>
      </c>
      <c r="C125">
        <v>2364</v>
      </c>
      <c r="D125">
        <v>1</v>
      </c>
      <c r="E125">
        <v>2019</v>
      </c>
      <c r="F125" s="758">
        <v>84822.467000000004</v>
      </c>
      <c r="G125" s="754">
        <v>826732.42200000002</v>
      </c>
      <c r="H125" t="s">
        <v>244</v>
      </c>
      <c r="I125" s="755">
        <f t="shared" si="5"/>
        <v>84822.467000000004</v>
      </c>
    </row>
    <row r="126" spans="1:10">
      <c r="A126" t="s">
        <v>98</v>
      </c>
      <c r="B126" t="s">
        <v>103</v>
      </c>
      <c r="C126">
        <v>2364</v>
      </c>
      <c r="D126">
        <v>2</v>
      </c>
      <c r="E126">
        <v>2019</v>
      </c>
      <c r="F126" s="758">
        <v>277537.96899999998</v>
      </c>
      <c r="G126" s="754">
        <v>2705054.1349999998</v>
      </c>
      <c r="H126" t="s">
        <v>244</v>
      </c>
      <c r="I126" s="755">
        <f t="shared" si="5"/>
        <v>277537.96899999998</v>
      </c>
    </row>
    <row r="127" spans="1:10">
      <c r="A127" t="s">
        <v>98</v>
      </c>
      <c r="B127" t="s">
        <v>104</v>
      </c>
      <c r="C127">
        <v>2367</v>
      </c>
      <c r="D127">
        <v>4</v>
      </c>
      <c r="E127">
        <v>2019</v>
      </c>
      <c r="F127" s="754">
        <v>40094.851000000002</v>
      </c>
      <c r="G127" s="754">
        <v>404240.266</v>
      </c>
      <c r="H127" t="s">
        <v>253</v>
      </c>
      <c r="I127" s="755"/>
      <c r="J127" s="32" t="s">
        <v>2208</v>
      </c>
    </row>
    <row r="128" spans="1:10">
      <c r="A128" t="s">
        <v>98</v>
      </c>
      <c r="B128" t="s">
        <v>104</v>
      </c>
      <c r="C128">
        <v>2367</v>
      </c>
      <c r="D128">
        <v>5</v>
      </c>
      <c r="E128">
        <v>2019</v>
      </c>
      <c r="F128" s="754">
        <v>425553.16200000001</v>
      </c>
      <c r="G128" s="754">
        <v>4084609.7310000001</v>
      </c>
      <c r="H128" t="s">
        <v>275</v>
      </c>
      <c r="I128" s="755"/>
      <c r="J128" s="32" t="s">
        <v>2208</v>
      </c>
    </row>
    <row r="129" spans="1:10">
      <c r="A129" t="s">
        <v>98</v>
      </c>
      <c r="B129" t="s">
        <v>104</v>
      </c>
      <c r="C129">
        <v>2367</v>
      </c>
      <c r="D129">
        <v>6</v>
      </c>
      <c r="E129">
        <v>2019</v>
      </c>
      <c r="F129" s="754">
        <v>39636.67</v>
      </c>
      <c r="G129" s="754">
        <v>400339.26</v>
      </c>
      <c r="H129" t="s">
        <v>253</v>
      </c>
      <c r="I129" s="755"/>
      <c r="J129" s="32" t="s">
        <v>2208</v>
      </c>
    </row>
    <row r="130" spans="1:10">
      <c r="A130" t="s">
        <v>98</v>
      </c>
      <c r="B130" t="s">
        <v>151</v>
      </c>
      <c r="C130">
        <v>8002</v>
      </c>
      <c r="D130">
        <v>1</v>
      </c>
      <c r="E130">
        <v>2019</v>
      </c>
      <c r="F130" s="758">
        <v>6654.4129999999996</v>
      </c>
      <c r="G130" s="754">
        <v>100698.08</v>
      </c>
      <c r="H130" t="s">
        <v>246</v>
      </c>
      <c r="I130" s="755">
        <f t="shared" ref="I130:I140" si="6">F130</f>
        <v>6654.4129999999996</v>
      </c>
    </row>
    <row r="131" spans="1:10">
      <c r="A131" t="s">
        <v>98</v>
      </c>
      <c r="B131" t="s">
        <v>274</v>
      </c>
      <c r="C131">
        <v>55170</v>
      </c>
      <c r="D131">
        <v>1</v>
      </c>
      <c r="E131">
        <v>2019</v>
      </c>
      <c r="F131" s="758">
        <v>599160.62899999996</v>
      </c>
      <c r="G131" s="754">
        <v>10082021.473999999</v>
      </c>
      <c r="H131" t="s">
        <v>241</v>
      </c>
      <c r="I131" s="755">
        <f t="shared" si="6"/>
        <v>599160.62899999996</v>
      </c>
      <c r="J131" s="32"/>
    </row>
    <row r="132" spans="1:10">
      <c r="A132" t="s">
        <v>98</v>
      </c>
      <c r="B132" t="s">
        <v>274</v>
      </c>
      <c r="C132">
        <v>55170</v>
      </c>
      <c r="D132">
        <v>2</v>
      </c>
      <c r="E132">
        <v>2019</v>
      </c>
      <c r="F132" s="758">
        <v>685199.63399999996</v>
      </c>
      <c r="G132" s="754">
        <v>11529797.120999999</v>
      </c>
      <c r="H132" t="s">
        <v>241</v>
      </c>
      <c r="I132" s="755">
        <f t="shared" si="6"/>
        <v>685199.63399999996</v>
      </c>
    </row>
    <row r="133" spans="1:10">
      <c r="A133" t="s">
        <v>98</v>
      </c>
      <c r="B133" t="s">
        <v>2245</v>
      </c>
      <c r="C133">
        <v>55661</v>
      </c>
      <c r="D133">
        <v>1</v>
      </c>
      <c r="E133">
        <v>2019</v>
      </c>
      <c r="F133" s="758">
        <v>115505.584</v>
      </c>
      <c r="G133" s="754">
        <v>1929349.5460000001</v>
      </c>
      <c r="H133" t="s">
        <v>241</v>
      </c>
      <c r="I133" s="755">
        <f t="shared" si="6"/>
        <v>115505.584</v>
      </c>
    </row>
    <row r="134" spans="1:10">
      <c r="A134" t="s">
        <v>98</v>
      </c>
      <c r="B134" t="s">
        <v>2245</v>
      </c>
      <c r="C134">
        <v>55661</v>
      </c>
      <c r="D134">
        <v>2</v>
      </c>
      <c r="E134">
        <v>2019</v>
      </c>
      <c r="F134" s="758">
        <v>116122.342</v>
      </c>
      <c r="G134" s="754">
        <v>1949720.8019999999</v>
      </c>
      <c r="H134" t="s">
        <v>241</v>
      </c>
      <c r="I134" s="755">
        <f t="shared" si="6"/>
        <v>116122.342</v>
      </c>
    </row>
    <row r="135" spans="1:10">
      <c r="A135" t="s">
        <v>59</v>
      </c>
      <c r="B135" t="s">
        <v>105</v>
      </c>
      <c r="C135">
        <v>2480</v>
      </c>
      <c r="D135">
        <v>1</v>
      </c>
      <c r="E135">
        <v>2019</v>
      </c>
      <c r="F135" s="758">
        <v>1191.9880000000001</v>
      </c>
      <c r="G135" s="754">
        <v>20107.064999999999</v>
      </c>
      <c r="H135" t="s">
        <v>246</v>
      </c>
      <c r="I135" s="755">
        <f t="shared" si="6"/>
        <v>1191.9880000000001</v>
      </c>
      <c r="J135" s="32"/>
    </row>
    <row r="136" spans="1:10">
      <c r="A136" t="s">
        <v>59</v>
      </c>
      <c r="B136" t="s">
        <v>105</v>
      </c>
      <c r="C136">
        <v>2480</v>
      </c>
      <c r="D136">
        <v>2</v>
      </c>
      <c r="E136">
        <v>2019</v>
      </c>
      <c r="F136" s="758">
        <v>1065.7249999999999</v>
      </c>
      <c r="G136" s="754">
        <v>17982.235000000001</v>
      </c>
      <c r="H136" t="s">
        <v>246</v>
      </c>
      <c r="I136" s="755">
        <f t="shared" si="6"/>
        <v>1065.7249999999999</v>
      </c>
      <c r="J136" s="32"/>
    </row>
    <row r="137" spans="1:10">
      <c r="A137" t="s">
        <v>59</v>
      </c>
      <c r="B137" t="s">
        <v>105</v>
      </c>
      <c r="C137">
        <v>2480</v>
      </c>
      <c r="D137">
        <v>3</v>
      </c>
      <c r="E137">
        <v>2019</v>
      </c>
      <c r="F137" s="758">
        <v>1910.1949999999999</v>
      </c>
      <c r="G137" s="754">
        <v>32221.203000000001</v>
      </c>
      <c r="H137" t="s">
        <v>246</v>
      </c>
      <c r="I137" s="755">
        <f t="shared" si="6"/>
        <v>1910.1949999999999</v>
      </c>
      <c r="J137" s="32"/>
    </row>
    <row r="138" spans="1:10">
      <c r="A138" t="s">
        <v>59</v>
      </c>
      <c r="B138" t="s">
        <v>105</v>
      </c>
      <c r="C138">
        <v>2480</v>
      </c>
      <c r="D138">
        <v>4</v>
      </c>
      <c r="E138">
        <v>2019</v>
      </c>
      <c r="F138" s="758">
        <v>2265.7939999999999</v>
      </c>
      <c r="G138" s="754">
        <v>38219.042000000001</v>
      </c>
      <c r="H138" t="s">
        <v>246</v>
      </c>
      <c r="I138" s="755">
        <f t="shared" si="6"/>
        <v>2265.7939999999999</v>
      </c>
    </row>
    <row r="139" spans="1:10">
      <c r="A139" t="s">
        <v>59</v>
      </c>
      <c r="B139" t="s">
        <v>278</v>
      </c>
      <c r="C139">
        <v>2490</v>
      </c>
      <c r="D139">
        <v>20</v>
      </c>
      <c r="E139">
        <v>2019</v>
      </c>
      <c r="F139" s="758">
        <v>484652.95400000003</v>
      </c>
      <c r="G139" s="754">
        <v>8155041.5420000004</v>
      </c>
      <c r="H139" t="s">
        <v>253</v>
      </c>
      <c r="I139" s="755">
        <f t="shared" si="6"/>
        <v>484652.95400000003</v>
      </c>
      <c r="J139" s="32"/>
    </row>
    <row r="140" spans="1:10">
      <c r="A140" t="s">
        <v>59</v>
      </c>
      <c r="B140" t="s">
        <v>278</v>
      </c>
      <c r="C140">
        <v>2490</v>
      </c>
      <c r="D140">
        <v>30</v>
      </c>
      <c r="E140">
        <v>2019</v>
      </c>
      <c r="F140" s="758">
        <v>131661.905</v>
      </c>
      <c r="G140" s="754">
        <v>2215484.0950000002</v>
      </c>
      <c r="H140" t="s">
        <v>246</v>
      </c>
      <c r="I140" s="755">
        <f t="shared" si="6"/>
        <v>131661.905</v>
      </c>
      <c r="J140" s="32"/>
    </row>
    <row r="141" spans="1:10">
      <c r="A141" t="s">
        <v>59</v>
      </c>
      <c r="B141" t="s">
        <v>108</v>
      </c>
      <c r="C141">
        <v>2493</v>
      </c>
      <c r="D141">
        <v>1</v>
      </c>
      <c r="E141">
        <v>2019</v>
      </c>
      <c r="F141" s="21">
        <v>802360.95</v>
      </c>
      <c r="G141" s="754">
        <v>13494121.625</v>
      </c>
      <c r="H141" t="s">
        <v>241</v>
      </c>
      <c r="I141" s="755"/>
      <c r="J141" s="32" t="s">
        <v>1763</v>
      </c>
    </row>
    <row r="142" spans="1:10">
      <c r="A142" t="s">
        <v>59</v>
      </c>
      <c r="B142" t="s">
        <v>108</v>
      </c>
      <c r="C142">
        <v>2493</v>
      </c>
      <c r="D142">
        <v>2</v>
      </c>
      <c r="E142">
        <v>2019</v>
      </c>
      <c r="F142" s="21">
        <v>656021.1</v>
      </c>
      <c r="G142" s="754">
        <v>11027007.475</v>
      </c>
      <c r="H142" t="s">
        <v>241</v>
      </c>
      <c r="I142" s="755"/>
      <c r="J142" s="32" t="s">
        <v>1763</v>
      </c>
    </row>
    <row r="143" spans="1:10">
      <c r="A143" t="s">
        <v>59</v>
      </c>
      <c r="B143" t="s">
        <v>108</v>
      </c>
      <c r="C143">
        <v>2493</v>
      </c>
      <c r="D143">
        <v>60</v>
      </c>
      <c r="E143">
        <v>2019</v>
      </c>
      <c r="F143" s="21">
        <v>397614.97499999998</v>
      </c>
      <c r="G143" s="754">
        <v>6652228</v>
      </c>
      <c r="H143" t="s">
        <v>253</v>
      </c>
      <c r="I143" s="755"/>
      <c r="J143" s="32" t="s">
        <v>1763</v>
      </c>
    </row>
    <row r="144" spans="1:10">
      <c r="A144" t="s">
        <v>59</v>
      </c>
      <c r="B144" t="s">
        <v>108</v>
      </c>
      <c r="C144">
        <v>2493</v>
      </c>
      <c r="D144">
        <v>70</v>
      </c>
      <c r="E144">
        <v>2019</v>
      </c>
      <c r="F144" s="21">
        <v>234534.9</v>
      </c>
      <c r="G144" s="754">
        <v>3908059.875</v>
      </c>
      <c r="H144" t="s">
        <v>253</v>
      </c>
      <c r="I144" s="755"/>
      <c r="J144" s="32" t="s">
        <v>1763</v>
      </c>
    </row>
    <row r="145" spans="1:10">
      <c r="A145" t="s">
        <v>59</v>
      </c>
      <c r="B145" t="s">
        <v>324</v>
      </c>
      <c r="C145">
        <v>2500</v>
      </c>
      <c r="D145">
        <v>10</v>
      </c>
      <c r="E145">
        <v>2019</v>
      </c>
      <c r="F145" s="758">
        <v>172816.992</v>
      </c>
      <c r="G145" s="754">
        <v>2886167.8620000002</v>
      </c>
      <c r="H145" t="s">
        <v>246</v>
      </c>
      <c r="I145" s="755">
        <f t="shared" ref="I145:I208" si="7">F145</f>
        <v>172816.992</v>
      </c>
      <c r="J145" s="32"/>
    </row>
    <row r="146" spans="1:10">
      <c r="A146" t="s">
        <v>59</v>
      </c>
      <c r="B146" t="s">
        <v>324</v>
      </c>
      <c r="C146">
        <v>2500</v>
      </c>
      <c r="D146">
        <v>20</v>
      </c>
      <c r="E146">
        <v>2019</v>
      </c>
      <c r="F146" s="758">
        <v>278048.799</v>
      </c>
      <c r="G146" s="754">
        <v>4643308.8590000002</v>
      </c>
      <c r="H146" t="s">
        <v>246</v>
      </c>
      <c r="I146" s="755">
        <f t="shared" si="7"/>
        <v>278048.799</v>
      </c>
      <c r="J146" s="32"/>
    </row>
    <row r="147" spans="1:10">
      <c r="A147" t="s">
        <v>59</v>
      </c>
      <c r="B147" t="s">
        <v>324</v>
      </c>
      <c r="C147">
        <v>2500</v>
      </c>
      <c r="D147">
        <v>30</v>
      </c>
      <c r="E147">
        <v>2019</v>
      </c>
      <c r="F147" s="758">
        <v>94741.702000000005</v>
      </c>
      <c r="G147" s="754">
        <v>1591384.1740000001</v>
      </c>
      <c r="H147" t="s">
        <v>246</v>
      </c>
      <c r="I147" s="755">
        <f t="shared" si="7"/>
        <v>94741.702000000005</v>
      </c>
      <c r="J147" s="32"/>
    </row>
    <row r="148" spans="1:10">
      <c r="A148" t="s">
        <v>59</v>
      </c>
      <c r="B148" t="s">
        <v>324</v>
      </c>
      <c r="C148">
        <v>2500</v>
      </c>
      <c r="D148" t="s">
        <v>560</v>
      </c>
      <c r="E148">
        <v>2019</v>
      </c>
      <c r="F148" s="758"/>
      <c r="G148" s="754"/>
      <c r="H148" t="s">
        <v>238</v>
      </c>
      <c r="I148" s="755">
        <f t="shared" si="7"/>
        <v>0</v>
      </c>
      <c r="J148" s="32"/>
    </row>
    <row r="149" spans="1:10">
      <c r="A149" t="s">
        <v>59</v>
      </c>
      <c r="B149" t="s">
        <v>324</v>
      </c>
      <c r="C149">
        <v>2500</v>
      </c>
      <c r="D149" t="s">
        <v>561</v>
      </c>
      <c r="E149">
        <v>2019</v>
      </c>
      <c r="F149" s="758"/>
      <c r="G149" s="754"/>
      <c r="H149" t="s">
        <v>238</v>
      </c>
      <c r="I149" s="755">
        <f t="shared" si="7"/>
        <v>0</v>
      </c>
      <c r="J149" s="32"/>
    </row>
    <row r="150" spans="1:10">
      <c r="A150" t="s">
        <v>59</v>
      </c>
      <c r="B150" t="s">
        <v>324</v>
      </c>
      <c r="C150">
        <v>2500</v>
      </c>
      <c r="D150" t="s">
        <v>562</v>
      </c>
      <c r="E150">
        <v>2019</v>
      </c>
      <c r="F150" s="758"/>
      <c r="G150" s="754"/>
      <c r="H150" t="s">
        <v>238</v>
      </c>
      <c r="I150" s="755">
        <f t="shared" si="7"/>
        <v>0</v>
      </c>
      <c r="J150" s="32"/>
    </row>
    <row r="151" spans="1:10">
      <c r="A151" t="s">
        <v>59</v>
      </c>
      <c r="B151" t="s">
        <v>324</v>
      </c>
      <c r="C151">
        <v>2500</v>
      </c>
      <c r="D151" t="s">
        <v>563</v>
      </c>
      <c r="E151">
        <v>2019</v>
      </c>
      <c r="F151" s="758"/>
      <c r="G151" s="754"/>
      <c r="H151" t="s">
        <v>238</v>
      </c>
      <c r="I151" s="755">
        <f t="shared" si="7"/>
        <v>0</v>
      </c>
      <c r="J151" s="32"/>
    </row>
    <row r="152" spans="1:10">
      <c r="A152" t="s">
        <v>59</v>
      </c>
      <c r="B152" t="s">
        <v>324</v>
      </c>
      <c r="C152">
        <v>2500</v>
      </c>
      <c r="D152" t="s">
        <v>564</v>
      </c>
      <c r="E152">
        <v>2019</v>
      </c>
      <c r="F152" s="758"/>
      <c r="G152" s="754"/>
      <c r="H152" t="s">
        <v>238</v>
      </c>
      <c r="I152" s="755">
        <f t="shared" si="7"/>
        <v>0</v>
      </c>
      <c r="J152" s="32"/>
    </row>
    <row r="153" spans="1:10">
      <c r="A153" t="s">
        <v>59</v>
      </c>
      <c r="B153" t="s">
        <v>324</v>
      </c>
      <c r="C153">
        <v>2500</v>
      </c>
      <c r="D153" t="s">
        <v>565</v>
      </c>
      <c r="E153">
        <v>2019</v>
      </c>
      <c r="F153" s="758"/>
      <c r="G153" s="754"/>
      <c r="H153" t="s">
        <v>238</v>
      </c>
      <c r="I153" s="755">
        <f t="shared" si="7"/>
        <v>0</v>
      </c>
      <c r="J153" s="32"/>
    </row>
    <row r="154" spans="1:10">
      <c r="A154" t="s">
        <v>59</v>
      </c>
      <c r="B154" t="s">
        <v>324</v>
      </c>
      <c r="C154">
        <v>2500</v>
      </c>
      <c r="D154" t="s">
        <v>566</v>
      </c>
      <c r="E154">
        <v>2019</v>
      </c>
      <c r="F154" s="758"/>
      <c r="G154" s="754"/>
      <c r="H154" t="s">
        <v>238</v>
      </c>
      <c r="I154" s="755">
        <f t="shared" si="7"/>
        <v>0</v>
      </c>
      <c r="J154" s="32"/>
    </row>
    <row r="155" spans="1:10">
      <c r="A155" t="s">
        <v>59</v>
      </c>
      <c r="B155" t="s">
        <v>324</v>
      </c>
      <c r="C155">
        <v>2500</v>
      </c>
      <c r="D155" t="s">
        <v>567</v>
      </c>
      <c r="E155">
        <v>2019</v>
      </c>
      <c r="F155" s="758"/>
      <c r="G155" s="754"/>
      <c r="H155" t="s">
        <v>238</v>
      </c>
      <c r="I155" s="755">
        <f t="shared" si="7"/>
        <v>0</v>
      </c>
      <c r="J155" s="32"/>
    </row>
    <row r="156" spans="1:10">
      <c r="A156" t="s">
        <v>59</v>
      </c>
      <c r="B156" t="s">
        <v>324</v>
      </c>
      <c r="C156">
        <v>2500</v>
      </c>
      <c r="D156" t="s">
        <v>325</v>
      </c>
      <c r="E156">
        <v>2019</v>
      </c>
      <c r="F156" s="758">
        <v>701844.30099999998</v>
      </c>
      <c r="G156" s="754">
        <v>11776945.658</v>
      </c>
      <c r="H156" t="s">
        <v>241</v>
      </c>
      <c r="I156" s="755">
        <f t="shared" si="7"/>
        <v>701844.30099999998</v>
      </c>
      <c r="J156" s="32"/>
    </row>
    <row r="157" spans="1:10">
      <c r="A157" t="s">
        <v>59</v>
      </c>
      <c r="B157" t="s">
        <v>117</v>
      </c>
      <c r="C157">
        <v>2511</v>
      </c>
      <c r="D157">
        <v>10</v>
      </c>
      <c r="E157">
        <v>2019</v>
      </c>
      <c r="F157" s="758">
        <v>578092</v>
      </c>
      <c r="G157" s="754">
        <v>9697815.8249999993</v>
      </c>
      <c r="H157" t="s">
        <v>246</v>
      </c>
      <c r="I157" s="755">
        <f t="shared" si="7"/>
        <v>578092</v>
      </c>
    </row>
    <row r="158" spans="1:10">
      <c r="A158" t="s">
        <v>59</v>
      </c>
      <c r="B158" t="s">
        <v>117</v>
      </c>
      <c r="C158">
        <v>2511</v>
      </c>
      <c r="D158">
        <v>20</v>
      </c>
      <c r="E158">
        <v>2019</v>
      </c>
      <c r="F158" s="758">
        <v>313316.84999999998</v>
      </c>
      <c r="G158" s="754">
        <v>5235747.875</v>
      </c>
      <c r="H158" t="s">
        <v>246</v>
      </c>
      <c r="I158" s="755">
        <f t="shared" si="7"/>
        <v>313316.84999999998</v>
      </c>
    </row>
    <row r="159" spans="1:10">
      <c r="A159" t="s">
        <v>59</v>
      </c>
      <c r="B159" t="s">
        <v>117</v>
      </c>
      <c r="C159">
        <v>2511</v>
      </c>
      <c r="D159" t="s">
        <v>532</v>
      </c>
      <c r="E159">
        <v>2019</v>
      </c>
      <c r="F159" s="758">
        <v>6218.4</v>
      </c>
      <c r="G159" s="754">
        <v>105191.2</v>
      </c>
      <c r="H159" t="s">
        <v>238</v>
      </c>
      <c r="I159" s="755">
        <f t="shared" si="7"/>
        <v>6218.4</v>
      </c>
    </row>
    <row r="160" spans="1:10">
      <c r="A160" t="s">
        <v>59</v>
      </c>
      <c r="B160" t="s">
        <v>117</v>
      </c>
      <c r="C160">
        <v>2511</v>
      </c>
      <c r="D160" t="s">
        <v>533</v>
      </c>
      <c r="E160">
        <v>2019</v>
      </c>
      <c r="F160" s="758">
        <v>6218.4</v>
      </c>
      <c r="G160" s="754">
        <v>105191.2</v>
      </c>
      <c r="H160" t="s">
        <v>238</v>
      </c>
      <c r="I160" s="755">
        <f t="shared" si="7"/>
        <v>6218.4</v>
      </c>
    </row>
    <row r="161" spans="1:10">
      <c r="A161" t="s">
        <v>59</v>
      </c>
      <c r="B161" t="s">
        <v>117</v>
      </c>
      <c r="C161">
        <v>2511</v>
      </c>
      <c r="D161" t="s">
        <v>534</v>
      </c>
      <c r="E161">
        <v>2019</v>
      </c>
      <c r="F161" s="758">
        <v>5430.7</v>
      </c>
      <c r="G161" s="754">
        <v>91961.9</v>
      </c>
      <c r="H161" t="s">
        <v>238</v>
      </c>
      <c r="I161" s="755">
        <f t="shared" si="7"/>
        <v>5430.7</v>
      </c>
    </row>
    <row r="162" spans="1:10">
      <c r="A162" t="s">
        <v>59</v>
      </c>
      <c r="B162" t="s">
        <v>117</v>
      </c>
      <c r="C162">
        <v>2511</v>
      </c>
      <c r="D162" t="s">
        <v>535</v>
      </c>
      <c r="E162">
        <v>2019</v>
      </c>
      <c r="F162" s="758">
        <v>5430.7</v>
      </c>
      <c r="G162" s="754">
        <v>91961.9</v>
      </c>
      <c r="H162" t="s">
        <v>238</v>
      </c>
      <c r="I162" s="755">
        <f t="shared" si="7"/>
        <v>5430.7</v>
      </c>
    </row>
    <row r="163" spans="1:10">
      <c r="A163" t="s">
        <v>59</v>
      </c>
      <c r="B163" t="s">
        <v>117</v>
      </c>
      <c r="C163">
        <v>2511</v>
      </c>
      <c r="D163" t="s">
        <v>536</v>
      </c>
      <c r="E163">
        <v>2019</v>
      </c>
      <c r="F163" s="758">
        <v>11347</v>
      </c>
      <c r="G163" s="754">
        <v>190133.5</v>
      </c>
      <c r="H163" t="s">
        <v>238</v>
      </c>
      <c r="I163" s="755">
        <f t="shared" si="7"/>
        <v>11347</v>
      </c>
    </row>
    <row r="164" spans="1:10">
      <c r="A164" t="s">
        <v>59</v>
      </c>
      <c r="B164" t="s">
        <v>117</v>
      </c>
      <c r="C164">
        <v>2511</v>
      </c>
      <c r="D164" t="s">
        <v>537</v>
      </c>
      <c r="E164">
        <v>2019</v>
      </c>
      <c r="F164" s="758">
        <v>11347</v>
      </c>
      <c r="G164" s="754">
        <v>190133.5</v>
      </c>
      <c r="H164" t="s">
        <v>238</v>
      </c>
      <c r="I164" s="755">
        <f t="shared" si="7"/>
        <v>11347</v>
      </c>
    </row>
    <row r="165" spans="1:10">
      <c r="A165" t="s">
        <v>59</v>
      </c>
      <c r="B165" t="s">
        <v>117</v>
      </c>
      <c r="C165">
        <v>2511</v>
      </c>
      <c r="D165" t="s">
        <v>538</v>
      </c>
      <c r="E165">
        <v>2019</v>
      </c>
      <c r="F165" s="758">
        <v>8314.4</v>
      </c>
      <c r="G165" s="754">
        <v>138748.20000000001</v>
      </c>
      <c r="H165" t="s">
        <v>238</v>
      </c>
      <c r="I165" s="755">
        <f t="shared" si="7"/>
        <v>8314.4</v>
      </c>
    </row>
    <row r="166" spans="1:10">
      <c r="A166" t="s">
        <v>59</v>
      </c>
      <c r="B166" t="s">
        <v>117</v>
      </c>
      <c r="C166">
        <v>2511</v>
      </c>
      <c r="D166" t="s">
        <v>539</v>
      </c>
      <c r="E166">
        <v>2019</v>
      </c>
      <c r="F166" s="758">
        <v>8314.4</v>
      </c>
      <c r="G166" s="754">
        <v>138748.20000000001</v>
      </c>
      <c r="H166" t="s">
        <v>238</v>
      </c>
      <c r="I166" s="755">
        <f t="shared" si="7"/>
        <v>8314.4</v>
      </c>
    </row>
    <row r="167" spans="1:10">
      <c r="A167" t="s">
        <v>59</v>
      </c>
      <c r="B167" t="s">
        <v>118</v>
      </c>
      <c r="C167">
        <v>2514</v>
      </c>
      <c r="D167" t="s">
        <v>542</v>
      </c>
      <c r="E167">
        <v>2019</v>
      </c>
      <c r="F167" s="758">
        <v>689.3</v>
      </c>
      <c r="G167" s="754">
        <v>8509</v>
      </c>
      <c r="H167" t="s">
        <v>238</v>
      </c>
      <c r="I167" s="755">
        <f t="shared" si="7"/>
        <v>689.3</v>
      </c>
    </row>
    <row r="168" spans="1:10">
      <c r="A168" t="s">
        <v>59</v>
      </c>
      <c r="B168" t="s">
        <v>118</v>
      </c>
      <c r="C168">
        <v>2514</v>
      </c>
      <c r="D168" t="s">
        <v>543</v>
      </c>
      <c r="E168">
        <v>2019</v>
      </c>
      <c r="F168" s="758">
        <v>494</v>
      </c>
      <c r="G168" s="754">
        <v>6100</v>
      </c>
      <c r="H168" t="s">
        <v>238</v>
      </c>
      <c r="I168" s="755">
        <f t="shared" si="7"/>
        <v>494</v>
      </c>
    </row>
    <row r="169" spans="1:10">
      <c r="A169" t="s">
        <v>59</v>
      </c>
      <c r="B169" t="s">
        <v>119</v>
      </c>
      <c r="C169">
        <v>2516</v>
      </c>
      <c r="D169">
        <v>1</v>
      </c>
      <c r="E169">
        <v>2019</v>
      </c>
      <c r="F169" s="758">
        <v>226765.7</v>
      </c>
      <c r="G169" s="754">
        <v>3716312.05</v>
      </c>
      <c r="H169" t="s">
        <v>246</v>
      </c>
      <c r="I169" s="755">
        <f t="shared" si="7"/>
        <v>226765.7</v>
      </c>
      <c r="J169" s="32"/>
    </row>
    <row r="170" spans="1:10">
      <c r="A170" t="s">
        <v>59</v>
      </c>
      <c r="B170" t="s">
        <v>119</v>
      </c>
      <c r="C170">
        <v>2516</v>
      </c>
      <c r="D170">
        <v>2</v>
      </c>
      <c r="E170">
        <v>2019</v>
      </c>
      <c r="F170" s="758">
        <v>364137.6</v>
      </c>
      <c r="G170" s="754">
        <v>6041787.5499999998</v>
      </c>
      <c r="H170" t="s">
        <v>246</v>
      </c>
      <c r="I170" s="755">
        <f t="shared" si="7"/>
        <v>364137.6</v>
      </c>
      <c r="J170" s="32"/>
    </row>
    <row r="171" spans="1:10">
      <c r="A171" t="s">
        <v>59</v>
      </c>
      <c r="B171" t="s">
        <v>119</v>
      </c>
      <c r="C171">
        <v>2516</v>
      </c>
      <c r="D171">
        <v>3</v>
      </c>
      <c r="E171">
        <v>2019</v>
      </c>
      <c r="F171" s="758">
        <v>355495.2</v>
      </c>
      <c r="G171" s="754">
        <v>5867220.9000000004</v>
      </c>
      <c r="H171" t="s">
        <v>246</v>
      </c>
      <c r="I171" s="755">
        <f t="shared" si="7"/>
        <v>355495.2</v>
      </c>
      <c r="J171" s="32"/>
    </row>
    <row r="172" spans="1:10">
      <c r="A172" t="s">
        <v>59</v>
      </c>
      <c r="B172" t="s">
        <v>119</v>
      </c>
      <c r="C172">
        <v>2516</v>
      </c>
      <c r="D172">
        <v>4</v>
      </c>
      <c r="E172">
        <v>2019</v>
      </c>
      <c r="F172" s="758">
        <v>413683.6</v>
      </c>
      <c r="G172" s="754">
        <v>6927217.75</v>
      </c>
      <c r="H172" t="s">
        <v>246</v>
      </c>
      <c r="I172" s="755">
        <f t="shared" si="7"/>
        <v>413683.6</v>
      </c>
      <c r="J172" s="32"/>
    </row>
    <row r="173" spans="1:10">
      <c r="A173" t="s">
        <v>59</v>
      </c>
      <c r="B173" t="s">
        <v>319</v>
      </c>
      <c r="C173">
        <v>2517</v>
      </c>
      <c r="D173">
        <v>3</v>
      </c>
      <c r="E173">
        <v>2019</v>
      </c>
      <c r="F173" s="758">
        <v>74577.375</v>
      </c>
      <c r="G173" s="754">
        <v>1235383.75</v>
      </c>
      <c r="H173" t="s">
        <v>246</v>
      </c>
      <c r="I173" s="755">
        <f t="shared" si="7"/>
        <v>74577.375</v>
      </c>
      <c r="J173" s="32"/>
    </row>
    <row r="174" spans="1:10">
      <c r="A174" t="s">
        <v>59</v>
      </c>
      <c r="B174" t="s">
        <v>319</v>
      </c>
      <c r="C174">
        <v>2517</v>
      </c>
      <c r="D174">
        <v>4</v>
      </c>
      <c r="E174">
        <v>2019</v>
      </c>
      <c r="F174" s="758">
        <v>125392.425</v>
      </c>
      <c r="G174" s="754">
        <v>2068296.875</v>
      </c>
      <c r="H174" t="s">
        <v>246</v>
      </c>
      <c r="I174" s="755">
        <f t="shared" si="7"/>
        <v>125392.425</v>
      </c>
      <c r="J174" s="32"/>
    </row>
    <row r="175" spans="1:10">
      <c r="A175" t="s">
        <v>59</v>
      </c>
      <c r="B175" t="s">
        <v>319</v>
      </c>
      <c r="C175">
        <v>2517</v>
      </c>
      <c r="D175" t="s">
        <v>320</v>
      </c>
      <c r="E175">
        <v>2019</v>
      </c>
      <c r="F175" s="758">
        <v>14674.8</v>
      </c>
      <c r="G175" s="754">
        <v>244138.42499999999</v>
      </c>
      <c r="H175" t="s">
        <v>238</v>
      </c>
      <c r="I175" s="755">
        <f t="shared" si="7"/>
        <v>14674.8</v>
      </c>
      <c r="J175" s="32"/>
    </row>
    <row r="176" spans="1:10">
      <c r="A176" t="s">
        <v>59</v>
      </c>
      <c r="B176" t="s">
        <v>319</v>
      </c>
      <c r="C176">
        <v>2517</v>
      </c>
      <c r="D176" t="s">
        <v>321</v>
      </c>
      <c r="E176">
        <v>2019</v>
      </c>
      <c r="F176" s="758">
        <v>13850.475</v>
      </c>
      <c r="G176" s="754">
        <v>232429.4</v>
      </c>
      <c r="H176" t="s">
        <v>238</v>
      </c>
      <c r="I176" s="755">
        <f t="shared" si="7"/>
        <v>13850.475</v>
      </c>
      <c r="J176" s="32"/>
    </row>
    <row r="177" spans="1:11">
      <c r="A177" t="s">
        <v>59</v>
      </c>
      <c r="B177" t="s">
        <v>578</v>
      </c>
      <c r="C177">
        <v>2521</v>
      </c>
      <c r="D177" t="s">
        <v>579</v>
      </c>
      <c r="E177">
        <v>2019</v>
      </c>
      <c r="F177" s="758">
        <v>3649.7</v>
      </c>
      <c r="G177" s="754">
        <v>45062.2</v>
      </c>
      <c r="H177" t="s">
        <v>238</v>
      </c>
      <c r="I177" s="755">
        <f t="shared" si="7"/>
        <v>3649.7</v>
      </c>
      <c r="J177" s="32"/>
    </row>
    <row r="178" spans="1:11">
      <c r="A178" t="s">
        <v>59</v>
      </c>
      <c r="B178" t="s">
        <v>1647</v>
      </c>
      <c r="C178">
        <v>2527</v>
      </c>
      <c r="D178">
        <v>6</v>
      </c>
      <c r="E178">
        <v>2019</v>
      </c>
      <c r="F178" s="21">
        <v>39405.796000000002</v>
      </c>
      <c r="G178" s="754">
        <v>664721.49899999995</v>
      </c>
      <c r="H178" t="s">
        <v>246</v>
      </c>
      <c r="I178" s="755"/>
      <c r="J178" s="744" t="s">
        <v>2421</v>
      </c>
    </row>
    <row r="179" spans="1:11">
      <c r="A179" t="s">
        <v>59</v>
      </c>
      <c r="B179" t="s">
        <v>1154</v>
      </c>
      <c r="C179">
        <v>2535</v>
      </c>
      <c r="D179">
        <v>1</v>
      </c>
      <c r="E179">
        <v>2019</v>
      </c>
      <c r="F179" s="758">
        <v>107935.895</v>
      </c>
      <c r="G179" s="754">
        <v>1052001.449</v>
      </c>
      <c r="H179" t="s">
        <v>246</v>
      </c>
      <c r="I179" s="755">
        <f t="shared" si="7"/>
        <v>107935.895</v>
      </c>
      <c r="J179" s="32"/>
    </row>
    <row r="180" spans="1:11">
      <c r="A180" t="s">
        <v>59</v>
      </c>
      <c r="B180" t="s">
        <v>1154</v>
      </c>
      <c r="C180">
        <v>2535</v>
      </c>
      <c r="D180">
        <v>2</v>
      </c>
      <c r="E180">
        <v>2019</v>
      </c>
      <c r="F180" s="758"/>
      <c r="G180" s="754"/>
      <c r="H180" t="s">
        <v>246</v>
      </c>
      <c r="I180" s="755">
        <f t="shared" si="7"/>
        <v>0</v>
      </c>
    </row>
    <row r="181" spans="1:11">
      <c r="A181" t="s">
        <v>59</v>
      </c>
      <c r="B181" t="s">
        <v>284</v>
      </c>
      <c r="C181">
        <v>2539</v>
      </c>
      <c r="D181">
        <v>10001</v>
      </c>
      <c r="E181">
        <v>2019</v>
      </c>
      <c r="F181" s="758">
        <v>542248.30299999996</v>
      </c>
      <c r="G181" s="754">
        <v>9124371.6349999998</v>
      </c>
      <c r="H181" t="s">
        <v>241</v>
      </c>
      <c r="I181" s="755">
        <f t="shared" si="7"/>
        <v>542248.30299999996</v>
      </c>
    </row>
    <row r="182" spans="1:11">
      <c r="A182" t="s">
        <v>59</v>
      </c>
      <c r="B182" t="s">
        <v>284</v>
      </c>
      <c r="C182">
        <v>2539</v>
      </c>
      <c r="D182">
        <v>10002</v>
      </c>
      <c r="E182">
        <v>2019</v>
      </c>
      <c r="F182" s="758">
        <v>514574.95799999998</v>
      </c>
      <c r="G182" s="754">
        <v>8658709.0140000004</v>
      </c>
      <c r="H182" t="s">
        <v>241</v>
      </c>
      <c r="I182" s="755">
        <f t="shared" si="7"/>
        <v>514574.95799999998</v>
      </c>
    </row>
    <row r="183" spans="1:11">
      <c r="A183" t="s">
        <v>59</v>
      </c>
      <c r="B183" t="s">
        <v>284</v>
      </c>
      <c r="C183">
        <v>2539</v>
      </c>
      <c r="D183">
        <v>10003</v>
      </c>
      <c r="E183">
        <v>2019</v>
      </c>
      <c r="F183" s="758">
        <v>817643.96400000004</v>
      </c>
      <c r="G183" s="754">
        <v>13758405.975</v>
      </c>
      <c r="H183" t="s">
        <v>241</v>
      </c>
      <c r="I183" s="755">
        <f t="shared" si="7"/>
        <v>817643.96400000004</v>
      </c>
    </row>
    <row r="184" spans="1:11">
      <c r="A184" t="s">
        <v>59</v>
      </c>
      <c r="B184" t="s">
        <v>313</v>
      </c>
      <c r="C184">
        <v>2554</v>
      </c>
      <c r="D184">
        <v>1</v>
      </c>
      <c r="E184">
        <v>2019</v>
      </c>
      <c r="F184" s="758"/>
      <c r="G184" s="754"/>
      <c r="H184" t="s">
        <v>246</v>
      </c>
      <c r="I184" s="755">
        <f t="shared" si="7"/>
        <v>0</v>
      </c>
      <c r="J184" s="32" t="s">
        <v>2210</v>
      </c>
      <c r="K184" s="28"/>
    </row>
    <row r="185" spans="1:11">
      <c r="A185" t="s">
        <v>59</v>
      </c>
      <c r="B185" t="s">
        <v>313</v>
      </c>
      <c r="C185">
        <v>2554</v>
      </c>
      <c r="D185">
        <v>2</v>
      </c>
      <c r="E185">
        <v>2019</v>
      </c>
      <c r="F185" s="758"/>
      <c r="G185" s="754"/>
      <c r="H185" t="s">
        <v>246</v>
      </c>
      <c r="I185" s="755">
        <f t="shared" si="7"/>
        <v>0</v>
      </c>
      <c r="J185" s="32" t="s">
        <v>2210</v>
      </c>
      <c r="K185" s="28"/>
    </row>
    <row r="186" spans="1:11">
      <c r="A186" t="s">
        <v>59</v>
      </c>
      <c r="B186" t="s">
        <v>313</v>
      </c>
      <c r="C186">
        <v>2554</v>
      </c>
      <c r="D186">
        <v>3</v>
      </c>
      <c r="E186">
        <v>2019</v>
      </c>
      <c r="F186" s="758"/>
      <c r="G186" s="754"/>
      <c r="H186" t="s">
        <v>246</v>
      </c>
      <c r="I186" s="755">
        <f t="shared" si="7"/>
        <v>0</v>
      </c>
      <c r="J186" s="32" t="s">
        <v>2210</v>
      </c>
      <c r="K186" s="28"/>
    </row>
    <row r="187" spans="1:11">
      <c r="A187" t="s">
        <v>59</v>
      </c>
      <c r="B187" t="s">
        <v>313</v>
      </c>
      <c r="C187">
        <v>2554</v>
      </c>
      <c r="D187">
        <v>4</v>
      </c>
      <c r="E187">
        <v>2019</v>
      </c>
      <c r="F187" s="758"/>
      <c r="G187" s="754"/>
      <c r="H187" t="s">
        <v>246</v>
      </c>
      <c r="I187" s="755">
        <f t="shared" si="7"/>
        <v>0</v>
      </c>
      <c r="J187" s="32" t="s">
        <v>2210</v>
      </c>
      <c r="K187" s="28"/>
    </row>
    <row r="188" spans="1:11">
      <c r="A188" t="s">
        <v>59</v>
      </c>
      <c r="B188" t="s">
        <v>125</v>
      </c>
      <c r="C188">
        <v>2594</v>
      </c>
      <c r="D188">
        <v>5</v>
      </c>
      <c r="E188">
        <v>2019</v>
      </c>
      <c r="F188" s="758">
        <v>14225.475</v>
      </c>
      <c r="G188" s="754">
        <v>176872.42800000001</v>
      </c>
      <c r="H188" t="s">
        <v>253</v>
      </c>
      <c r="I188" s="755">
        <f t="shared" si="7"/>
        <v>14225.475</v>
      </c>
      <c r="J188" s="32"/>
      <c r="K188" s="28"/>
    </row>
    <row r="189" spans="1:11">
      <c r="A189" t="s">
        <v>59</v>
      </c>
      <c r="B189" t="s">
        <v>125</v>
      </c>
      <c r="C189">
        <v>2594</v>
      </c>
      <c r="D189">
        <v>6</v>
      </c>
      <c r="E189">
        <v>2019</v>
      </c>
      <c r="F189" s="758">
        <v>22406.657999999999</v>
      </c>
      <c r="G189" s="754">
        <v>288343.47600000002</v>
      </c>
      <c r="H189" t="s">
        <v>253</v>
      </c>
      <c r="I189" s="755">
        <f t="shared" si="7"/>
        <v>22406.657999999999</v>
      </c>
      <c r="J189" s="32"/>
      <c r="K189" s="28"/>
    </row>
    <row r="190" spans="1:11">
      <c r="A190" t="s">
        <v>59</v>
      </c>
      <c r="B190" t="s">
        <v>290</v>
      </c>
      <c r="C190">
        <v>2625</v>
      </c>
      <c r="D190">
        <v>1</v>
      </c>
      <c r="E190">
        <v>2019</v>
      </c>
      <c r="F190" s="758">
        <v>91813.638000000006</v>
      </c>
      <c r="G190" s="754">
        <v>1548383.54</v>
      </c>
      <c r="H190" t="s">
        <v>246</v>
      </c>
      <c r="I190" s="755">
        <f t="shared" si="7"/>
        <v>91813.638000000006</v>
      </c>
      <c r="J190" s="32"/>
      <c r="K190" s="28"/>
    </row>
    <row r="191" spans="1:11">
      <c r="A191" t="s">
        <v>59</v>
      </c>
      <c r="B191" t="s">
        <v>290</v>
      </c>
      <c r="C191">
        <v>2625</v>
      </c>
      <c r="D191">
        <v>2</v>
      </c>
      <c r="E191">
        <v>2019</v>
      </c>
      <c r="F191" s="758">
        <v>102291.352</v>
      </c>
      <c r="G191" s="754">
        <v>1725556.406</v>
      </c>
      <c r="H191" t="s">
        <v>253</v>
      </c>
      <c r="I191" s="755">
        <f t="shared" si="7"/>
        <v>102291.352</v>
      </c>
      <c r="J191" s="32"/>
      <c r="K191" s="28"/>
    </row>
    <row r="192" spans="1:11">
      <c r="A192" t="s">
        <v>59</v>
      </c>
      <c r="B192" t="s">
        <v>544</v>
      </c>
      <c r="C192">
        <v>2628</v>
      </c>
      <c r="D192">
        <v>1</v>
      </c>
      <c r="E192">
        <v>2019</v>
      </c>
      <c r="F192" s="758">
        <v>326.37299999999999</v>
      </c>
      <c r="G192" s="754">
        <v>5493.2659999999996</v>
      </c>
      <c r="H192" t="s">
        <v>238</v>
      </c>
      <c r="I192" s="755">
        <f t="shared" si="7"/>
        <v>326.37299999999999</v>
      </c>
      <c r="K192" s="28"/>
    </row>
    <row r="193" spans="1:11">
      <c r="A193" t="s">
        <v>59</v>
      </c>
      <c r="B193" t="s">
        <v>573</v>
      </c>
      <c r="C193">
        <v>2632</v>
      </c>
      <c r="D193">
        <v>1</v>
      </c>
      <c r="E193">
        <v>2019</v>
      </c>
      <c r="F193" s="758">
        <v>1162.6659999999999</v>
      </c>
      <c r="G193" s="754">
        <v>19563.077000000001</v>
      </c>
      <c r="H193" t="s">
        <v>238</v>
      </c>
      <c r="I193" s="755">
        <f t="shared" si="7"/>
        <v>1162.6659999999999</v>
      </c>
      <c r="J193" s="32"/>
      <c r="K193" s="28"/>
    </row>
    <row r="194" spans="1:11">
      <c r="A194" t="s">
        <v>59</v>
      </c>
      <c r="B194" t="s">
        <v>296</v>
      </c>
      <c r="C194">
        <v>2679</v>
      </c>
      <c r="D194">
        <v>5</v>
      </c>
      <c r="E194">
        <v>2019</v>
      </c>
      <c r="F194" s="758">
        <v>8428.9500000000007</v>
      </c>
      <c r="G194" s="754">
        <v>140612</v>
      </c>
      <c r="H194" t="s">
        <v>238</v>
      </c>
      <c r="I194" s="755">
        <f t="shared" si="7"/>
        <v>8428.9500000000007</v>
      </c>
    </row>
    <row r="195" spans="1:11">
      <c r="A195" t="s">
        <v>59</v>
      </c>
      <c r="B195" t="s">
        <v>130</v>
      </c>
      <c r="C195">
        <v>2682</v>
      </c>
      <c r="D195">
        <v>20</v>
      </c>
      <c r="E195">
        <v>2019</v>
      </c>
      <c r="F195" s="758">
        <v>86502.2</v>
      </c>
      <c r="G195" s="754">
        <v>1455550.5249999999</v>
      </c>
      <c r="H195" t="s">
        <v>241</v>
      </c>
      <c r="I195" s="755">
        <f t="shared" si="7"/>
        <v>86502.2</v>
      </c>
      <c r="J195" s="32"/>
    </row>
    <row r="196" spans="1:11">
      <c r="A196" t="s">
        <v>59</v>
      </c>
      <c r="B196" t="s">
        <v>1155</v>
      </c>
      <c r="C196">
        <v>6082</v>
      </c>
      <c r="D196">
        <v>1</v>
      </c>
      <c r="E196">
        <v>2019</v>
      </c>
      <c r="F196" s="758">
        <v>364032.95299999998</v>
      </c>
      <c r="G196" s="754">
        <v>3548075.1349999998</v>
      </c>
      <c r="H196" t="s">
        <v>253</v>
      </c>
      <c r="I196" s="755">
        <f t="shared" si="7"/>
        <v>364032.95299999998</v>
      </c>
    </row>
    <row r="197" spans="1:11">
      <c r="A197" t="s">
        <v>59</v>
      </c>
      <c r="B197" t="s">
        <v>574</v>
      </c>
      <c r="C197">
        <v>7146</v>
      </c>
      <c r="D197" t="s">
        <v>575</v>
      </c>
      <c r="E197">
        <v>2019</v>
      </c>
      <c r="F197" s="758">
        <v>4653.25</v>
      </c>
      <c r="G197" s="754">
        <v>57348.375</v>
      </c>
      <c r="H197" t="s">
        <v>238</v>
      </c>
      <c r="I197" s="755">
        <f t="shared" si="7"/>
        <v>4653.25</v>
      </c>
      <c r="J197" s="32"/>
    </row>
    <row r="198" spans="1:11">
      <c r="A198" t="s">
        <v>59</v>
      </c>
      <c r="B198" t="s">
        <v>574</v>
      </c>
      <c r="C198">
        <v>7146</v>
      </c>
      <c r="D198" t="s">
        <v>576</v>
      </c>
      <c r="E198">
        <v>2019</v>
      </c>
      <c r="F198" s="758">
        <v>3893.125</v>
      </c>
      <c r="G198" s="754">
        <v>47976.75</v>
      </c>
      <c r="H198" t="s">
        <v>238</v>
      </c>
      <c r="I198" s="755">
        <f t="shared" si="7"/>
        <v>3893.125</v>
      </c>
      <c r="J198" s="32"/>
    </row>
    <row r="199" spans="1:11">
      <c r="A199" t="s">
        <v>59</v>
      </c>
      <c r="B199" t="s">
        <v>574</v>
      </c>
      <c r="C199">
        <v>7146</v>
      </c>
      <c r="D199" t="s">
        <v>577</v>
      </c>
      <c r="E199">
        <v>2019</v>
      </c>
      <c r="F199" s="758">
        <v>5097.95</v>
      </c>
      <c r="G199" s="754">
        <v>62828.15</v>
      </c>
      <c r="H199" t="s">
        <v>238</v>
      </c>
      <c r="I199" s="755">
        <f t="shared" si="7"/>
        <v>5097.95</v>
      </c>
      <c r="J199" s="32"/>
    </row>
    <row r="200" spans="1:11">
      <c r="A200" t="s">
        <v>59</v>
      </c>
      <c r="B200" t="s">
        <v>574</v>
      </c>
      <c r="C200">
        <v>7146</v>
      </c>
      <c r="D200" t="s">
        <v>299</v>
      </c>
      <c r="E200">
        <v>2019</v>
      </c>
      <c r="F200" s="758">
        <v>1053.4000000000001</v>
      </c>
      <c r="G200" s="754">
        <v>13004.9</v>
      </c>
      <c r="H200" t="s">
        <v>238</v>
      </c>
      <c r="I200" s="755">
        <f t="shared" si="7"/>
        <v>1053.4000000000001</v>
      </c>
      <c r="J200" s="32"/>
    </row>
    <row r="201" spans="1:11">
      <c r="A201" t="s">
        <v>59</v>
      </c>
      <c r="B201" t="s">
        <v>327</v>
      </c>
      <c r="C201">
        <v>7314</v>
      </c>
      <c r="D201">
        <v>1</v>
      </c>
      <c r="E201">
        <v>2019</v>
      </c>
      <c r="F201" s="758">
        <v>198820.283</v>
      </c>
      <c r="G201" s="754">
        <v>3307903.8369999998</v>
      </c>
      <c r="H201" t="s">
        <v>241</v>
      </c>
      <c r="I201" s="755">
        <f t="shared" si="7"/>
        <v>198820.283</v>
      </c>
      <c r="J201" s="32"/>
    </row>
    <row r="202" spans="1:11">
      <c r="A202" t="s">
        <v>59</v>
      </c>
      <c r="B202" t="s">
        <v>297</v>
      </c>
      <c r="C202">
        <v>7869</v>
      </c>
      <c r="D202" t="s">
        <v>298</v>
      </c>
      <c r="E202">
        <v>2019</v>
      </c>
      <c r="F202" s="758">
        <v>24364.1</v>
      </c>
      <c r="G202" s="754">
        <v>409541.6</v>
      </c>
      <c r="H202" t="s">
        <v>238</v>
      </c>
      <c r="I202" s="755">
        <f t="shared" si="7"/>
        <v>24364.1</v>
      </c>
      <c r="J202" s="32"/>
    </row>
    <row r="203" spans="1:11">
      <c r="A203" t="s">
        <v>59</v>
      </c>
      <c r="B203" t="s">
        <v>297</v>
      </c>
      <c r="C203">
        <v>7869</v>
      </c>
      <c r="D203" t="s">
        <v>299</v>
      </c>
      <c r="E203">
        <v>2019</v>
      </c>
      <c r="F203" s="758">
        <v>25542.224999999999</v>
      </c>
      <c r="G203" s="754">
        <v>429373.05</v>
      </c>
      <c r="H203" t="s">
        <v>238</v>
      </c>
      <c r="I203" s="755">
        <f t="shared" si="7"/>
        <v>25542.224999999999</v>
      </c>
    </row>
    <row r="204" spans="1:11">
      <c r="A204" t="s">
        <v>59</v>
      </c>
      <c r="B204" t="s">
        <v>30</v>
      </c>
      <c r="C204">
        <v>7909</v>
      </c>
      <c r="D204" t="s">
        <v>328</v>
      </c>
      <c r="E204">
        <v>2019</v>
      </c>
      <c r="F204" s="758">
        <v>8567.5040000000008</v>
      </c>
      <c r="G204" s="754">
        <v>144159.06700000001</v>
      </c>
      <c r="H204" t="s">
        <v>238</v>
      </c>
      <c r="I204" s="755">
        <f t="shared" si="7"/>
        <v>8567.5040000000008</v>
      </c>
    </row>
    <row r="205" spans="1:11">
      <c r="A205" t="s">
        <v>59</v>
      </c>
      <c r="B205" t="s">
        <v>30</v>
      </c>
      <c r="C205">
        <v>7909</v>
      </c>
      <c r="D205" t="s">
        <v>329</v>
      </c>
      <c r="E205">
        <v>2019</v>
      </c>
      <c r="F205" s="758">
        <v>13057.428</v>
      </c>
      <c r="G205" s="754">
        <v>219708.79500000001</v>
      </c>
      <c r="H205" t="s">
        <v>238</v>
      </c>
      <c r="I205" s="755">
        <f t="shared" si="7"/>
        <v>13057.428</v>
      </c>
    </row>
    <row r="206" spans="1:11">
      <c r="A206" t="s">
        <v>59</v>
      </c>
      <c r="B206" t="s">
        <v>276</v>
      </c>
      <c r="C206">
        <v>7910</v>
      </c>
      <c r="D206">
        <v>2301</v>
      </c>
      <c r="E206">
        <v>2019</v>
      </c>
      <c r="F206" s="758">
        <v>27302.86</v>
      </c>
      <c r="G206" s="754">
        <v>459403.16</v>
      </c>
      <c r="H206" t="s">
        <v>238</v>
      </c>
      <c r="I206" s="755">
        <f t="shared" si="7"/>
        <v>27302.86</v>
      </c>
      <c r="J206" s="32"/>
    </row>
    <row r="207" spans="1:11">
      <c r="A207" t="s">
        <v>59</v>
      </c>
      <c r="B207" t="s">
        <v>276</v>
      </c>
      <c r="C207">
        <v>7910</v>
      </c>
      <c r="D207">
        <v>2302</v>
      </c>
      <c r="E207">
        <v>2019</v>
      </c>
      <c r="F207" s="758">
        <v>21804.344000000001</v>
      </c>
      <c r="G207" s="754">
        <v>366949.48</v>
      </c>
      <c r="H207" t="s">
        <v>238</v>
      </c>
      <c r="I207" s="755">
        <f t="shared" si="7"/>
        <v>21804.344000000001</v>
      </c>
      <c r="J207" s="32"/>
    </row>
    <row r="208" spans="1:11">
      <c r="A208" t="s">
        <v>59</v>
      </c>
      <c r="B208" t="s">
        <v>31</v>
      </c>
      <c r="C208">
        <v>7912</v>
      </c>
      <c r="D208" t="s">
        <v>291</v>
      </c>
      <c r="E208">
        <v>2019</v>
      </c>
      <c r="F208" s="758">
        <v>32189.954000000002</v>
      </c>
      <c r="G208" s="754">
        <v>541649.26300000004</v>
      </c>
      <c r="H208" t="s">
        <v>238</v>
      </c>
      <c r="I208" s="755">
        <f t="shared" si="7"/>
        <v>32189.954000000002</v>
      </c>
      <c r="J208" s="32"/>
    </row>
    <row r="209" spans="1:10">
      <c r="A209" t="s">
        <v>59</v>
      </c>
      <c r="B209" t="s">
        <v>32</v>
      </c>
      <c r="C209">
        <v>7913</v>
      </c>
      <c r="D209" t="s">
        <v>304</v>
      </c>
      <c r="E209">
        <v>2019</v>
      </c>
      <c r="F209" s="758">
        <v>10963.147999999999</v>
      </c>
      <c r="G209" s="754">
        <v>184488.76199999999</v>
      </c>
      <c r="H209" t="s">
        <v>238</v>
      </c>
      <c r="I209" s="755">
        <f t="shared" ref="I209:I244" si="8">F209</f>
        <v>10963.147999999999</v>
      </c>
      <c r="J209" s="32"/>
    </row>
    <row r="210" spans="1:10">
      <c r="A210" t="s">
        <v>59</v>
      </c>
      <c r="B210" t="s">
        <v>32</v>
      </c>
      <c r="C210">
        <v>7913</v>
      </c>
      <c r="D210" t="s">
        <v>305</v>
      </c>
      <c r="E210">
        <v>2019</v>
      </c>
      <c r="F210" s="758">
        <v>7711.3270000000002</v>
      </c>
      <c r="G210" s="754">
        <v>129754.01</v>
      </c>
      <c r="H210" t="s">
        <v>238</v>
      </c>
      <c r="I210" s="755">
        <f t="shared" si="8"/>
        <v>7711.3270000000002</v>
      </c>
      <c r="J210" s="32"/>
    </row>
    <row r="211" spans="1:10">
      <c r="A211" t="s">
        <v>59</v>
      </c>
      <c r="B211" t="s">
        <v>33</v>
      </c>
      <c r="C211">
        <v>7914</v>
      </c>
      <c r="D211" t="s">
        <v>300</v>
      </c>
      <c r="E211">
        <v>2019</v>
      </c>
      <c r="F211" s="758">
        <v>11348.23</v>
      </c>
      <c r="G211" s="754">
        <v>190972.95600000001</v>
      </c>
      <c r="H211" t="s">
        <v>238</v>
      </c>
      <c r="I211" s="755">
        <f t="shared" si="8"/>
        <v>11348.23</v>
      </c>
    </row>
    <row r="212" spans="1:10">
      <c r="A212" t="s">
        <v>59</v>
      </c>
      <c r="B212" t="s">
        <v>33</v>
      </c>
      <c r="C212">
        <v>7914</v>
      </c>
      <c r="D212" t="s">
        <v>301</v>
      </c>
      <c r="E212">
        <v>2019</v>
      </c>
      <c r="F212" s="758">
        <v>7309.8289999999997</v>
      </c>
      <c r="G212" s="754">
        <v>123000.963</v>
      </c>
      <c r="H212" t="s">
        <v>238</v>
      </c>
      <c r="I212" s="755">
        <f t="shared" si="8"/>
        <v>7309.8289999999997</v>
      </c>
      <c r="J212" s="32"/>
    </row>
    <row r="213" spans="1:10">
      <c r="A213" t="s">
        <v>59</v>
      </c>
      <c r="B213" t="s">
        <v>34</v>
      </c>
      <c r="C213">
        <v>7915</v>
      </c>
      <c r="D213" t="s">
        <v>314</v>
      </c>
      <c r="E213">
        <v>2019</v>
      </c>
      <c r="F213" s="758">
        <v>20278.177</v>
      </c>
      <c r="G213" s="754">
        <v>341197.42599999998</v>
      </c>
      <c r="H213" t="s">
        <v>238</v>
      </c>
      <c r="I213" s="755">
        <f t="shared" si="8"/>
        <v>20278.177</v>
      </c>
    </row>
    <row r="214" spans="1:10">
      <c r="A214" t="s">
        <v>59</v>
      </c>
      <c r="B214" t="s">
        <v>1907</v>
      </c>
      <c r="C214">
        <v>8006</v>
      </c>
      <c r="D214">
        <v>1</v>
      </c>
      <c r="E214">
        <v>2019</v>
      </c>
      <c r="F214" s="758">
        <v>41051.794999999998</v>
      </c>
      <c r="G214" s="754">
        <v>681251.70299999998</v>
      </c>
      <c r="H214" t="s">
        <v>246</v>
      </c>
      <c r="I214" s="755">
        <f t="shared" si="8"/>
        <v>41051.794999999998</v>
      </c>
    </row>
    <row r="215" spans="1:10">
      <c r="A215" t="s">
        <v>59</v>
      </c>
      <c r="B215" t="s">
        <v>1907</v>
      </c>
      <c r="C215">
        <v>8006</v>
      </c>
      <c r="D215">
        <v>2</v>
      </c>
      <c r="E215">
        <v>2019</v>
      </c>
      <c r="F215" s="758">
        <v>60146.599000000002</v>
      </c>
      <c r="G215" s="754">
        <v>1002123.148</v>
      </c>
      <c r="H215" t="s">
        <v>246</v>
      </c>
      <c r="I215" s="755">
        <f t="shared" si="8"/>
        <v>60146.599000000002</v>
      </c>
      <c r="J215" s="32"/>
    </row>
    <row r="216" spans="1:10">
      <c r="A216" t="s">
        <v>59</v>
      </c>
      <c r="B216" t="s">
        <v>545</v>
      </c>
      <c r="C216">
        <v>8007</v>
      </c>
      <c r="D216" t="s">
        <v>546</v>
      </c>
      <c r="E216">
        <v>2019</v>
      </c>
      <c r="F216" s="758">
        <v>605.1</v>
      </c>
      <c r="G216" s="754">
        <v>7474.1</v>
      </c>
      <c r="H216" t="s">
        <v>238</v>
      </c>
      <c r="I216" s="755">
        <f t="shared" si="8"/>
        <v>605.1</v>
      </c>
    </row>
    <row r="217" spans="1:10">
      <c r="A217" t="s">
        <v>59</v>
      </c>
      <c r="B217" t="s">
        <v>545</v>
      </c>
      <c r="C217">
        <v>8007</v>
      </c>
      <c r="D217" t="s">
        <v>547</v>
      </c>
      <c r="E217">
        <v>2019</v>
      </c>
      <c r="F217" s="758">
        <v>599.5</v>
      </c>
      <c r="G217" s="754">
        <v>7405</v>
      </c>
      <c r="H217" t="s">
        <v>238</v>
      </c>
      <c r="I217" s="755">
        <f t="shared" si="8"/>
        <v>599.5</v>
      </c>
    </row>
    <row r="218" spans="1:10">
      <c r="A218" t="s">
        <v>59</v>
      </c>
      <c r="B218" t="s">
        <v>545</v>
      </c>
      <c r="C218">
        <v>8007</v>
      </c>
      <c r="D218" t="s">
        <v>548</v>
      </c>
      <c r="E218">
        <v>2019</v>
      </c>
      <c r="F218" s="758">
        <v>321.5</v>
      </c>
      <c r="G218" s="754">
        <v>3968.8</v>
      </c>
      <c r="H218" t="s">
        <v>238</v>
      </c>
      <c r="I218" s="755">
        <f t="shared" si="8"/>
        <v>321.5</v>
      </c>
      <c r="J218" s="32"/>
    </row>
    <row r="219" spans="1:10">
      <c r="A219" t="s">
        <v>59</v>
      </c>
      <c r="B219" t="s">
        <v>545</v>
      </c>
      <c r="C219">
        <v>8007</v>
      </c>
      <c r="D219" t="s">
        <v>549</v>
      </c>
      <c r="E219">
        <v>2019</v>
      </c>
      <c r="F219" s="758">
        <v>321.5</v>
      </c>
      <c r="G219" s="754">
        <v>3968.8</v>
      </c>
      <c r="H219" t="s">
        <v>238</v>
      </c>
      <c r="I219" s="755">
        <f t="shared" si="8"/>
        <v>321.5</v>
      </c>
      <c r="J219" s="32"/>
    </row>
    <row r="220" spans="1:10">
      <c r="A220" t="s">
        <v>59</v>
      </c>
      <c r="B220" t="s">
        <v>545</v>
      </c>
      <c r="C220">
        <v>8007</v>
      </c>
      <c r="D220" t="s">
        <v>550</v>
      </c>
      <c r="E220">
        <v>2019</v>
      </c>
      <c r="F220" s="758">
        <v>756</v>
      </c>
      <c r="G220" s="754">
        <v>9332.7000000000007</v>
      </c>
      <c r="H220" t="s">
        <v>238</v>
      </c>
      <c r="I220" s="755">
        <f t="shared" si="8"/>
        <v>756</v>
      </c>
      <c r="J220" s="32"/>
    </row>
    <row r="221" spans="1:10">
      <c r="A221" t="s">
        <v>59</v>
      </c>
      <c r="B221" t="s">
        <v>545</v>
      </c>
      <c r="C221">
        <v>8007</v>
      </c>
      <c r="D221" t="s">
        <v>551</v>
      </c>
      <c r="E221">
        <v>2019</v>
      </c>
      <c r="F221" s="758">
        <v>756</v>
      </c>
      <c r="G221" s="754">
        <v>9332.7000000000007</v>
      </c>
      <c r="H221" t="s">
        <v>238</v>
      </c>
      <c r="I221" s="755">
        <f t="shared" si="8"/>
        <v>756</v>
      </c>
      <c r="J221" s="32"/>
    </row>
    <row r="222" spans="1:10">
      <c r="A222" t="s">
        <v>59</v>
      </c>
      <c r="B222" t="s">
        <v>545</v>
      </c>
      <c r="C222">
        <v>8007</v>
      </c>
      <c r="D222" t="s">
        <v>552</v>
      </c>
      <c r="E222">
        <v>2019</v>
      </c>
      <c r="F222" s="758">
        <v>834.4</v>
      </c>
      <c r="G222" s="754">
        <v>10304</v>
      </c>
      <c r="H222" t="s">
        <v>238</v>
      </c>
      <c r="I222" s="755">
        <f t="shared" si="8"/>
        <v>834.4</v>
      </c>
      <c r="J222" s="32"/>
    </row>
    <row r="223" spans="1:10">
      <c r="A223" t="s">
        <v>59</v>
      </c>
      <c r="B223" t="s">
        <v>545</v>
      </c>
      <c r="C223">
        <v>8007</v>
      </c>
      <c r="D223" t="s">
        <v>553</v>
      </c>
      <c r="E223">
        <v>2019</v>
      </c>
      <c r="F223" s="758">
        <v>833</v>
      </c>
      <c r="G223" s="754">
        <v>10286.200000000001</v>
      </c>
      <c r="H223" t="s">
        <v>238</v>
      </c>
      <c r="I223" s="755">
        <f t="shared" si="8"/>
        <v>833</v>
      </c>
      <c r="J223" s="32"/>
    </row>
    <row r="224" spans="1:10">
      <c r="A224" t="s">
        <v>59</v>
      </c>
      <c r="B224" t="s">
        <v>545</v>
      </c>
      <c r="C224">
        <v>8007</v>
      </c>
      <c r="D224" t="s">
        <v>554</v>
      </c>
      <c r="E224">
        <v>2019</v>
      </c>
      <c r="F224" s="758">
        <v>555.20000000000005</v>
      </c>
      <c r="G224" s="754">
        <v>6851.6</v>
      </c>
      <c r="H224" t="s">
        <v>238</v>
      </c>
      <c r="I224" s="755">
        <f t="shared" si="8"/>
        <v>555.20000000000005</v>
      </c>
    </row>
    <row r="225" spans="1:10">
      <c r="A225" t="s">
        <v>59</v>
      </c>
      <c r="B225" t="s">
        <v>545</v>
      </c>
      <c r="C225">
        <v>8007</v>
      </c>
      <c r="D225" t="s">
        <v>555</v>
      </c>
      <c r="E225">
        <v>2019</v>
      </c>
      <c r="F225" s="758">
        <v>555.20000000000005</v>
      </c>
      <c r="G225" s="754">
        <v>6851.6</v>
      </c>
      <c r="H225" t="s">
        <v>238</v>
      </c>
      <c r="I225" s="755">
        <f t="shared" si="8"/>
        <v>555.20000000000005</v>
      </c>
      <c r="J225" s="32"/>
    </row>
    <row r="226" spans="1:10">
      <c r="A226" t="s">
        <v>59</v>
      </c>
      <c r="B226" t="s">
        <v>545</v>
      </c>
      <c r="C226">
        <v>8007</v>
      </c>
      <c r="D226" t="s">
        <v>556</v>
      </c>
      <c r="E226">
        <v>2019</v>
      </c>
      <c r="F226" s="758">
        <v>1803</v>
      </c>
      <c r="G226" s="754">
        <v>22255.1</v>
      </c>
      <c r="H226" t="s">
        <v>238</v>
      </c>
      <c r="I226" s="755">
        <f t="shared" si="8"/>
        <v>1803</v>
      </c>
      <c r="J226" s="32"/>
    </row>
    <row r="227" spans="1:10">
      <c r="A227" t="s">
        <v>59</v>
      </c>
      <c r="B227" t="s">
        <v>545</v>
      </c>
      <c r="C227">
        <v>8007</v>
      </c>
      <c r="D227" t="s">
        <v>532</v>
      </c>
      <c r="E227">
        <v>2019</v>
      </c>
      <c r="F227" s="758">
        <v>1803</v>
      </c>
      <c r="G227" s="754">
        <v>22255.1</v>
      </c>
      <c r="H227" t="s">
        <v>238</v>
      </c>
      <c r="I227" s="755">
        <f t="shared" si="8"/>
        <v>1803</v>
      </c>
      <c r="J227" s="32"/>
    </row>
    <row r="228" spans="1:10">
      <c r="A228" t="s">
        <v>59</v>
      </c>
      <c r="B228" t="s">
        <v>545</v>
      </c>
      <c r="C228">
        <v>8007</v>
      </c>
      <c r="D228" t="s">
        <v>533</v>
      </c>
      <c r="E228">
        <v>2019</v>
      </c>
      <c r="F228" s="758">
        <v>2236.6</v>
      </c>
      <c r="G228" s="754">
        <v>27609.599999999999</v>
      </c>
      <c r="H228" t="s">
        <v>238</v>
      </c>
      <c r="I228" s="755">
        <f t="shared" si="8"/>
        <v>2236.6</v>
      </c>
      <c r="J228" s="32"/>
    </row>
    <row r="229" spans="1:10">
      <c r="A229" t="s">
        <v>59</v>
      </c>
      <c r="B229" t="s">
        <v>545</v>
      </c>
      <c r="C229">
        <v>8007</v>
      </c>
      <c r="D229" t="s">
        <v>534</v>
      </c>
      <c r="E229">
        <v>2019</v>
      </c>
      <c r="F229" s="758">
        <v>2236.6</v>
      </c>
      <c r="G229" s="754">
        <v>27609.599999999999</v>
      </c>
      <c r="H229" t="s">
        <v>238</v>
      </c>
      <c r="I229" s="755">
        <f t="shared" si="8"/>
        <v>2236.6</v>
      </c>
      <c r="J229" s="32"/>
    </row>
    <row r="230" spans="1:10">
      <c r="A230" t="s">
        <v>59</v>
      </c>
      <c r="B230" t="s">
        <v>545</v>
      </c>
      <c r="C230">
        <v>8007</v>
      </c>
      <c r="D230" t="s">
        <v>535</v>
      </c>
      <c r="E230">
        <v>2019</v>
      </c>
      <c r="F230" s="758">
        <v>2623.1</v>
      </c>
      <c r="G230" s="754">
        <v>32385.7</v>
      </c>
      <c r="H230" t="s">
        <v>238</v>
      </c>
      <c r="I230" s="755">
        <f t="shared" si="8"/>
        <v>2623.1</v>
      </c>
      <c r="J230" s="32"/>
    </row>
    <row r="231" spans="1:10">
      <c r="A231" t="s">
        <v>59</v>
      </c>
      <c r="B231" t="s">
        <v>545</v>
      </c>
      <c r="C231">
        <v>8007</v>
      </c>
      <c r="D231" t="s">
        <v>536</v>
      </c>
      <c r="E231">
        <v>2019</v>
      </c>
      <c r="F231" s="758">
        <v>2623.1</v>
      </c>
      <c r="G231" s="754">
        <v>32385.7</v>
      </c>
      <c r="H231" t="s">
        <v>238</v>
      </c>
      <c r="I231" s="755">
        <f t="shared" si="8"/>
        <v>2623.1</v>
      </c>
      <c r="J231" s="32"/>
    </row>
    <row r="232" spans="1:10">
      <c r="A232" t="s">
        <v>59</v>
      </c>
      <c r="B232" t="s">
        <v>545</v>
      </c>
      <c r="C232">
        <v>8007</v>
      </c>
      <c r="D232" t="s">
        <v>537</v>
      </c>
      <c r="E232">
        <v>2019</v>
      </c>
      <c r="F232" s="758">
        <v>1735.1</v>
      </c>
      <c r="G232" s="754">
        <v>21420.9</v>
      </c>
      <c r="H232" t="s">
        <v>238</v>
      </c>
      <c r="I232" s="755">
        <f t="shared" si="8"/>
        <v>1735.1</v>
      </c>
      <c r="J232" s="32"/>
    </row>
    <row r="233" spans="1:10">
      <c r="A233" t="s">
        <v>59</v>
      </c>
      <c r="B233" t="s">
        <v>545</v>
      </c>
      <c r="C233">
        <v>8007</v>
      </c>
      <c r="D233" t="s">
        <v>538</v>
      </c>
      <c r="E233">
        <v>2019</v>
      </c>
      <c r="F233" s="758">
        <v>1735.1</v>
      </c>
      <c r="G233" s="754">
        <v>21420.9</v>
      </c>
      <c r="H233" t="s">
        <v>238</v>
      </c>
      <c r="I233" s="755">
        <f t="shared" si="8"/>
        <v>1735.1</v>
      </c>
      <c r="J233" s="32"/>
    </row>
    <row r="234" spans="1:10">
      <c r="A234" t="s">
        <v>59</v>
      </c>
      <c r="B234" t="s">
        <v>545</v>
      </c>
      <c r="C234">
        <v>8007</v>
      </c>
      <c r="D234" t="s">
        <v>539</v>
      </c>
      <c r="E234">
        <v>2019</v>
      </c>
      <c r="F234" s="758">
        <v>1632.4</v>
      </c>
      <c r="G234" s="754">
        <v>20153.599999999999</v>
      </c>
      <c r="H234" t="s">
        <v>238</v>
      </c>
      <c r="I234" s="755">
        <f t="shared" si="8"/>
        <v>1632.4</v>
      </c>
      <c r="J234" s="32"/>
    </row>
    <row r="235" spans="1:10">
      <c r="A235" t="s">
        <v>59</v>
      </c>
      <c r="B235" t="s">
        <v>545</v>
      </c>
      <c r="C235">
        <v>8007</v>
      </c>
      <c r="D235" t="s">
        <v>542</v>
      </c>
      <c r="E235">
        <v>2019</v>
      </c>
      <c r="F235" s="758">
        <v>1632.4</v>
      </c>
      <c r="G235" s="754">
        <v>20153.599999999999</v>
      </c>
      <c r="H235" t="s">
        <v>238</v>
      </c>
      <c r="I235" s="755">
        <f t="shared" si="8"/>
        <v>1632.4</v>
      </c>
      <c r="J235" s="32"/>
    </row>
    <row r="236" spans="1:10">
      <c r="A236" t="s">
        <v>59</v>
      </c>
      <c r="B236" t="s">
        <v>322</v>
      </c>
      <c r="C236">
        <v>8053</v>
      </c>
      <c r="D236" t="s">
        <v>323</v>
      </c>
      <c r="E236">
        <v>2019</v>
      </c>
      <c r="F236" s="758">
        <v>31967.695</v>
      </c>
      <c r="G236" s="754">
        <v>537918.90500000003</v>
      </c>
      <c r="H236" t="s">
        <v>238</v>
      </c>
      <c r="I236" s="755">
        <f t="shared" si="8"/>
        <v>31967.695</v>
      </c>
      <c r="J236" s="32"/>
    </row>
    <row r="237" spans="1:10">
      <c r="A237" t="s">
        <v>59</v>
      </c>
      <c r="B237" t="s">
        <v>156</v>
      </c>
      <c r="C237">
        <v>8906</v>
      </c>
      <c r="D237">
        <v>20</v>
      </c>
      <c r="E237">
        <v>2019</v>
      </c>
      <c r="F237" s="758">
        <v>5789.1689999999999</v>
      </c>
      <c r="G237" s="754">
        <v>97407.986999999994</v>
      </c>
      <c r="H237" t="s">
        <v>253</v>
      </c>
      <c r="I237" s="755">
        <f t="shared" si="8"/>
        <v>5789.1689999999999</v>
      </c>
      <c r="J237" s="32"/>
    </row>
    <row r="238" spans="1:10">
      <c r="A238" t="s">
        <v>59</v>
      </c>
      <c r="B238" t="s">
        <v>156</v>
      </c>
      <c r="C238">
        <v>8906</v>
      </c>
      <c r="D238" t="s">
        <v>522</v>
      </c>
      <c r="E238">
        <v>2019</v>
      </c>
      <c r="F238" s="758">
        <v>152785.45300000001</v>
      </c>
      <c r="G238" s="754">
        <v>2559387.0210000002</v>
      </c>
      <c r="H238" t="s">
        <v>253</v>
      </c>
      <c r="I238" s="755">
        <f t="shared" si="8"/>
        <v>152785.45300000001</v>
      </c>
      <c r="J238" s="32"/>
    </row>
    <row r="239" spans="1:10">
      <c r="A239" t="s">
        <v>59</v>
      </c>
      <c r="B239" t="s">
        <v>156</v>
      </c>
      <c r="C239">
        <v>8906</v>
      </c>
      <c r="D239" t="s">
        <v>523</v>
      </c>
      <c r="E239">
        <v>2019</v>
      </c>
      <c r="F239" s="758">
        <v>145494.25</v>
      </c>
      <c r="G239" s="754">
        <v>2437511.0099999998</v>
      </c>
      <c r="H239" t="s">
        <v>253</v>
      </c>
      <c r="I239" s="755">
        <f t="shared" si="8"/>
        <v>145494.25</v>
      </c>
    </row>
    <row r="240" spans="1:10">
      <c r="A240" t="s">
        <v>59</v>
      </c>
      <c r="B240" t="s">
        <v>156</v>
      </c>
      <c r="C240">
        <v>8906</v>
      </c>
      <c r="D240" t="s">
        <v>524</v>
      </c>
      <c r="E240">
        <v>2019</v>
      </c>
      <c r="F240" s="758"/>
      <c r="G240" s="754"/>
      <c r="H240" t="s">
        <v>246</v>
      </c>
      <c r="I240" s="755">
        <f t="shared" si="8"/>
        <v>0</v>
      </c>
      <c r="J240" s="32"/>
    </row>
    <row r="241" spans="1:11">
      <c r="A241" t="s">
        <v>59</v>
      </c>
      <c r="B241" t="s">
        <v>156</v>
      </c>
      <c r="C241">
        <v>8906</v>
      </c>
      <c r="D241" t="s">
        <v>525</v>
      </c>
      <c r="E241">
        <v>2019</v>
      </c>
      <c r="F241" s="758"/>
      <c r="G241" s="754"/>
      <c r="H241" t="s">
        <v>246</v>
      </c>
      <c r="I241" s="755">
        <f t="shared" si="8"/>
        <v>0</v>
      </c>
      <c r="J241" s="32"/>
    </row>
    <row r="242" spans="1:11">
      <c r="A242" t="s">
        <v>59</v>
      </c>
      <c r="B242" t="s">
        <v>156</v>
      </c>
      <c r="C242">
        <v>8906</v>
      </c>
      <c r="D242" t="s">
        <v>526</v>
      </c>
      <c r="E242">
        <v>2019</v>
      </c>
      <c r="F242" s="758">
        <v>94987.71</v>
      </c>
      <c r="G242" s="754">
        <v>1585521.723</v>
      </c>
      <c r="H242" t="s">
        <v>246</v>
      </c>
      <c r="I242" s="755">
        <f t="shared" si="8"/>
        <v>94987.71</v>
      </c>
      <c r="J242" s="32"/>
    </row>
    <row r="243" spans="1:11">
      <c r="A243" t="s">
        <v>59</v>
      </c>
      <c r="B243" t="s">
        <v>156</v>
      </c>
      <c r="C243">
        <v>8906</v>
      </c>
      <c r="D243" t="s">
        <v>527</v>
      </c>
      <c r="E243">
        <v>2019</v>
      </c>
      <c r="F243" s="758">
        <v>93101.432000000001</v>
      </c>
      <c r="G243" s="754">
        <v>1553918.9080000001</v>
      </c>
      <c r="H243" t="s">
        <v>246</v>
      </c>
      <c r="I243" s="755">
        <f t="shared" si="8"/>
        <v>93101.432000000001</v>
      </c>
      <c r="J243" s="32"/>
    </row>
    <row r="244" spans="1:11">
      <c r="A244" t="s">
        <v>59</v>
      </c>
      <c r="B244" t="s">
        <v>295</v>
      </c>
      <c r="C244">
        <v>10190</v>
      </c>
      <c r="D244">
        <v>1</v>
      </c>
      <c r="E244">
        <v>2019</v>
      </c>
      <c r="F244" s="758">
        <v>72312.39</v>
      </c>
      <c r="G244" s="754">
        <v>1216663.4820000001</v>
      </c>
      <c r="H244" t="s">
        <v>241</v>
      </c>
      <c r="I244" s="755">
        <f t="shared" si="8"/>
        <v>72312.39</v>
      </c>
      <c r="J244" s="32"/>
    </row>
    <row r="245" spans="1:11">
      <c r="A245" t="s">
        <v>59</v>
      </c>
      <c r="B245" t="s">
        <v>528</v>
      </c>
      <c r="C245">
        <v>10464</v>
      </c>
      <c r="D245" t="s">
        <v>529</v>
      </c>
      <c r="E245">
        <v>2019</v>
      </c>
      <c r="F245" s="21">
        <v>180431.774</v>
      </c>
      <c r="G245" s="754">
        <v>1701032.868</v>
      </c>
      <c r="H245" t="s">
        <v>275</v>
      </c>
      <c r="I245" s="755"/>
      <c r="J245" s="32" t="s">
        <v>2209</v>
      </c>
    </row>
    <row r="246" spans="1:11">
      <c r="A246" t="s">
        <v>59</v>
      </c>
      <c r="B246" t="s">
        <v>528</v>
      </c>
      <c r="C246">
        <v>10464</v>
      </c>
      <c r="D246" t="s">
        <v>530</v>
      </c>
      <c r="E246">
        <v>2019</v>
      </c>
      <c r="F246" s="21">
        <v>179923.348</v>
      </c>
      <c r="G246" s="754">
        <v>1693866.8870000001</v>
      </c>
      <c r="H246" t="s">
        <v>275</v>
      </c>
      <c r="I246" s="755"/>
      <c r="J246" s="32" t="s">
        <v>2209</v>
      </c>
    </row>
    <row r="247" spans="1:11">
      <c r="A247" t="s">
        <v>59</v>
      </c>
      <c r="B247" t="s">
        <v>528</v>
      </c>
      <c r="C247">
        <v>10464</v>
      </c>
      <c r="D247" t="s">
        <v>531</v>
      </c>
      <c r="E247">
        <v>2019</v>
      </c>
      <c r="F247" s="21">
        <v>183367.94</v>
      </c>
      <c r="G247" s="754">
        <v>1727523.564</v>
      </c>
      <c r="H247" t="s">
        <v>275</v>
      </c>
      <c r="I247" s="755"/>
      <c r="J247" s="32" t="s">
        <v>2209</v>
      </c>
    </row>
    <row r="248" spans="1:11">
      <c r="A248" t="s">
        <v>59</v>
      </c>
      <c r="B248" t="s">
        <v>1905</v>
      </c>
      <c r="C248">
        <v>10617</v>
      </c>
      <c r="D248">
        <v>1</v>
      </c>
      <c r="E248">
        <v>2019</v>
      </c>
      <c r="F248" s="21">
        <v>1091.1110000000001</v>
      </c>
      <c r="G248" s="754">
        <v>18357.198</v>
      </c>
      <c r="H248" t="s">
        <v>241</v>
      </c>
      <c r="I248" s="755"/>
      <c r="J248" s="32" t="s">
        <v>1763</v>
      </c>
    </row>
    <row r="249" spans="1:11">
      <c r="A249" t="s">
        <v>59</v>
      </c>
      <c r="B249" t="s">
        <v>277</v>
      </c>
      <c r="C249">
        <v>10619</v>
      </c>
      <c r="D249">
        <v>1</v>
      </c>
      <c r="E249">
        <v>2019</v>
      </c>
      <c r="F249" s="758">
        <v>8459.9969999999994</v>
      </c>
      <c r="G249" s="754">
        <v>142364.47099999999</v>
      </c>
      <c r="H249" t="s">
        <v>241</v>
      </c>
      <c r="I249" s="755">
        <f>F249</f>
        <v>8459.9969999999994</v>
      </c>
      <c r="J249" s="32" t="s">
        <v>2210</v>
      </c>
    </row>
    <row r="250" spans="1:11">
      <c r="A250" t="s">
        <v>59</v>
      </c>
      <c r="B250" t="s">
        <v>294</v>
      </c>
      <c r="C250">
        <v>10620</v>
      </c>
      <c r="D250">
        <v>1</v>
      </c>
      <c r="E250">
        <v>2019</v>
      </c>
      <c r="F250" s="758">
        <v>1747.2539999999999</v>
      </c>
      <c r="G250" s="754">
        <v>29396.528999999999</v>
      </c>
      <c r="H250" t="s">
        <v>241</v>
      </c>
      <c r="I250" s="755">
        <f>F250</f>
        <v>1747.2539999999999</v>
      </c>
    </row>
    <row r="251" spans="1:11">
      <c r="A251" t="s">
        <v>59</v>
      </c>
      <c r="B251" t="s">
        <v>1908</v>
      </c>
      <c r="C251">
        <v>10621</v>
      </c>
      <c r="D251">
        <v>1</v>
      </c>
      <c r="E251">
        <v>2019</v>
      </c>
      <c r="F251" s="758">
        <v>7409.8389999999999</v>
      </c>
      <c r="G251" s="754">
        <v>124672.024</v>
      </c>
      <c r="H251" t="s">
        <v>241</v>
      </c>
      <c r="I251" s="755">
        <f>F251</f>
        <v>7409.8389999999999</v>
      </c>
    </row>
    <row r="252" spans="1:11">
      <c r="A252" t="s">
        <v>59</v>
      </c>
      <c r="B252" t="s">
        <v>569</v>
      </c>
      <c r="C252">
        <v>10725</v>
      </c>
      <c r="D252" t="s">
        <v>570</v>
      </c>
      <c r="E252">
        <v>2019</v>
      </c>
      <c r="F252" s="21">
        <v>10713.424999999999</v>
      </c>
      <c r="G252" s="754">
        <v>180260.147</v>
      </c>
      <c r="H252" t="s">
        <v>241</v>
      </c>
      <c r="I252" s="755"/>
      <c r="J252" s="32" t="s">
        <v>1763</v>
      </c>
    </row>
    <row r="253" spans="1:11">
      <c r="A253" t="s">
        <v>59</v>
      </c>
      <c r="B253" t="s">
        <v>569</v>
      </c>
      <c r="C253">
        <v>10725</v>
      </c>
      <c r="D253" t="s">
        <v>571</v>
      </c>
      <c r="E253">
        <v>2019</v>
      </c>
      <c r="F253" s="21">
        <v>33594.03</v>
      </c>
      <c r="G253" s="754">
        <v>565267.55599999998</v>
      </c>
      <c r="H253" t="s">
        <v>241</v>
      </c>
      <c r="I253" s="755"/>
      <c r="J253" s="32" t="s">
        <v>1763</v>
      </c>
    </row>
    <row r="254" spans="1:11">
      <c r="A254" t="s">
        <v>59</v>
      </c>
      <c r="B254" t="s">
        <v>569</v>
      </c>
      <c r="C254">
        <v>10725</v>
      </c>
      <c r="D254" t="s">
        <v>572</v>
      </c>
      <c r="E254">
        <v>2019</v>
      </c>
      <c r="F254" s="21">
        <v>26460.728999999999</v>
      </c>
      <c r="G254" s="754">
        <v>445271.76799999998</v>
      </c>
      <c r="H254" t="s">
        <v>241</v>
      </c>
      <c r="I254" s="755"/>
      <c r="J254" s="32" t="s">
        <v>1763</v>
      </c>
    </row>
    <row r="255" spans="1:11">
      <c r="A255" t="s">
        <v>59</v>
      </c>
      <c r="B255" t="s">
        <v>1151</v>
      </c>
      <c r="C255">
        <v>10803</v>
      </c>
      <c r="D255">
        <v>1</v>
      </c>
      <c r="E255">
        <v>2019</v>
      </c>
      <c r="F255" s="758"/>
      <c r="G255" s="754"/>
      <c r="H255" t="s">
        <v>241</v>
      </c>
      <c r="I255" s="755"/>
      <c r="J255" s="32" t="s">
        <v>2210</v>
      </c>
      <c r="K255" s="32"/>
    </row>
    <row r="256" spans="1:11">
      <c r="A256" t="s">
        <v>59</v>
      </c>
      <c r="B256" t="s">
        <v>1151</v>
      </c>
      <c r="C256">
        <v>10803</v>
      </c>
      <c r="D256">
        <v>2</v>
      </c>
      <c r="E256">
        <v>2019</v>
      </c>
      <c r="F256" s="758"/>
      <c r="G256" s="754"/>
      <c r="H256" t="s">
        <v>241</v>
      </c>
      <c r="I256" s="755"/>
      <c r="J256" s="32" t="s">
        <v>2210</v>
      </c>
    </row>
    <row r="257" spans="1:11">
      <c r="A257" t="s">
        <v>59</v>
      </c>
      <c r="B257" t="s">
        <v>285</v>
      </c>
      <c r="C257">
        <v>50292</v>
      </c>
      <c r="D257" t="s">
        <v>286</v>
      </c>
      <c r="E257">
        <v>2019</v>
      </c>
      <c r="F257" s="758">
        <v>43998.226999999999</v>
      </c>
      <c r="G257" s="754">
        <v>740376.48699999996</v>
      </c>
      <c r="H257" t="s">
        <v>241</v>
      </c>
      <c r="I257" s="755">
        <f>F257</f>
        <v>43998.226999999999</v>
      </c>
      <c r="J257" s="32"/>
    </row>
    <row r="258" spans="1:11">
      <c r="A258" t="s">
        <v>59</v>
      </c>
      <c r="B258" t="s">
        <v>285</v>
      </c>
      <c r="C258">
        <v>50292</v>
      </c>
      <c r="D258" t="s">
        <v>287</v>
      </c>
      <c r="E258">
        <v>2019</v>
      </c>
      <c r="F258" s="758">
        <v>49582.569000000003</v>
      </c>
      <c r="G258" s="754">
        <v>834316.57900000003</v>
      </c>
      <c r="H258" t="s">
        <v>241</v>
      </c>
      <c r="I258" s="755">
        <f>F258</f>
        <v>49582.569000000003</v>
      </c>
    </row>
    <row r="259" spans="1:11">
      <c r="A259" t="s">
        <v>59</v>
      </c>
      <c r="B259" t="s">
        <v>285</v>
      </c>
      <c r="C259">
        <v>50292</v>
      </c>
      <c r="D259" t="s">
        <v>288</v>
      </c>
      <c r="E259">
        <v>2019</v>
      </c>
      <c r="F259" s="758">
        <v>27831.208999999999</v>
      </c>
      <c r="G259" s="754">
        <v>468317.79599999997</v>
      </c>
      <c r="H259" t="s">
        <v>238</v>
      </c>
      <c r="I259" s="755">
        <f>F259</f>
        <v>27831.208999999999</v>
      </c>
    </row>
    <row r="260" spans="1:11">
      <c r="A260" t="s">
        <v>59</v>
      </c>
      <c r="B260" t="s">
        <v>285</v>
      </c>
      <c r="C260">
        <v>50292</v>
      </c>
      <c r="D260" t="s">
        <v>289</v>
      </c>
      <c r="E260">
        <v>2019</v>
      </c>
      <c r="F260" s="758">
        <v>58543.758999999998</v>
      </c>
      <c r="G260" s="754">
        <v>985092.67</v>
      </c>
      <c r="H260" t="s">
        <v>241</v>
      </c>
      <c r="I260" s="755">
        <f>F260</f>
        <v>58543.758999999998</v>
      </c>
      <c r="J260" s="32"/>
    </row>
    <row r="261" spans="1:11">
      <c r="A261" t="s">
        <v>59</v>
      </c>
      <c r="B261" t="s">
        <v>309</v>
      </c>
      <c r="C261">
        <v>50449</v>
      </c>
      <c r="D261">
        <v>1</v>
      </c>
      <c r="E261">
        <v>2019</v>
      </c>
      <c r="F261" s="21">
        <v>24993.599999999999</v>
      </c>
      <c r="G261" s="754">
        <v>420542.72499999998</v>
      </c>
      <c r="H261" t="s">
        <v>241</v>
      </c>
      <c r="I261" s="755"/>
      <c r="J261" s="32" t="s">
        <v>1763</v>
      </c>
    </row>
    <row r="262" spans="1:11">
      <c r="A262" t="s">
        <v>59</v>
      </c>
      <c r="B262" t="s">
        <v>308</v>
      </c>
      <c r="C262">
        <v>50450</v>
      </c>
      <c r="D262">
        <v>1</v>
      </c>
      <c r="E262">
        <v>2019</v>
      </c>
      <c r="F262" s="21">
        <v>13840.15</v>
      </c>
      <c r="G262" s="754">
        <v>232865.92499999999</v>
      </c>
      <c r="H262" t="s">
        <v>241</v>
      </c>
      <c r="I262" s="755"/>
      <c r="J262" s="32" t="s">
        <v>1763</v>
      </c>
    </row>
    <row r="263" spans="1:11">
      <c r="A263" t="s">
        <v>59</v>
      </c>
      <c r="B263" t="s">
        <v>310</v>
      </c>
      <c r="C263">
        <v>50451</v>
      </c>
      <c r="D263">
        <v>1</v>
      </c>
      <c r="E263">
        <v>2019</v>
      </c>
      <c r="F263" s="21">
        <v>15498.025</v>
      </c>
      <c r="G263" s="754">
        <v>260800.5</v>
      </c>
      <c r="H263" t="s">
        <v>241</v>
      </c>
      <c r="I263" s="755"/>
      <c r="J263" s="32" t="s">
        <v>1763</v>
      </c>
      <c r="K263" s="32"/>
    </row>
    <row r="264" spans="1:11">
      <c r="A264" t="s">
        <v>59</v>
      </c>
      <c r="B264" t="s">
        <v>306</v>
      </c>
      <c r="C264">
        <v>50458</v>
      </c>
      <c r="D264">
        <v>1</v>
      </c>
      <c r="E264">
        <v>2019</v>
      </c>
      <c r="F264" s="21">
        <v>284004.22499999998</v>
      </c>
      <c r="G264" s="754">
        <v>4748012.8250000002</v>
      </c>
      <c r="H264" t="s">
        <v>241</v>
      </c>
      <c r="I264" s="755"/>
      <c r="J264" s="32" t="s">
        <v>1763</v>
      </c>
      <c r="K264" s="32"/>
    </row>
    <row r="265" spans="1:11">
      <c r="A265" t="s">
        <v>59</v>
      </c>
      <c r="B265" t="s">
        <v>1144</v>
      </c>
      <c r="C265">
        <v>50472</v>
      </c>
      <c r="D265" t="s">
        <v>1145</v>
      </c>
      <c r="E265">
        <v>2019</v>
      </c>
      <c r="F265" s="21">
        <v>21669.9</v>
      </c>
      <c r="G265" s="754">
        <v>364659.17499999999</v>
      </c>
      <c r="H265" t="s">
        <v>253</v>
      </c>
      <c r="I265" s="755"/>
      <c r="J265" s="32" t="s">
        <v>1763</v>
      </c>
      <c r="K265" s="32"/>
    </row>
    <row r="266" spans="1:11">
      <c r="A266" t="s">
        <v>59</v>
      </c>
      <c r="B266" t="s">
        <v>1144</v>
      </c>
      <c r="C266">
        <v>50472</v>
      </c>
      <c r="D266" t="s">
        <v>1911</v>
      </c>
      <c r="E266">
        <v>2019</v>
      </c>
      <c r="F266" s="21"/>
      <c r="G266" s="754"/>
      <c r="H266" t="s">
        <v>253</v>
      </c>
      <c r="I266" s="755"/>
      <c r="J266" s="32" t="s">
        <v>1763</v>
      </c>
    </row>
    <row r="267" spans="1:11">
      <c r="A267" t="s">
        <v>59</v>
      </c>
      <c r="B267" t="s">
        <v>207</v>
      </c>
      <c r="C267">
        <v>50744</v>
      </c>
      <c r="D267">
        <v>1</v>
      </c>
      <c r="E267">
        <v>2019</v>
      </c>
      <c r="F267" s="758">
        <v>3771.2269999999999</v>
      </c>
      <c r="G267" s="754">
        <v>63452.529000000002</v>
      </c>
      <c r="H267" t="s">
        <v>241</v>
      </c>
      <c r="I267" s="755">
        <f>F267</f>
        <v>3771.2269999999999</v>
      </c>
    </row>
    <row r="268" spans="1:11">
      <c r="A268" t="s">
        <v>59</v>
      </c>
      <c r="B268" t="s">
        <v>211</v>
      </c>
      <c r="C268">
        <v>50978</v>
      </c>
      <c r="D268" t="s">
        <v>292</v>
      </c>
      <c r="E268">
        <v>2019</v>
      </c>
      <c r="F268" s="758">
        <v>14483.704</v>
      </c>
      <c r="G268" s="754">
        <v>243712.58499999999</v>
      </c>
      <c r="H268" t="s">
        <v>241</v>
      </c>
      <c r="I268" s="755">
        <f>F268</f>
        <v>14483.704</v>
      </c>
    </row>
    <row r="269" spans="1:11">
      <c r="A269" t="s">
        <v>59</v>
      </c>
      <c r="B269" t="s">
        <v>211</v>
      </c>
      <c r="C269">
        <v>50978</v>
      </c>
      <c r="D269" t="s">
        <v>293</v>
      </c>
      <c r="E269">
        <v>2019</v>
      </c>
      <c r="F269" s="758">
        <v>14720.84</v>
      </c>
      <c r="G269" s="754">
        <v>247726.848</v>
      </c>
      <c r="H269" t="s">
        <v>241</v>
      </c>
      <c r="I269" s="755">
        <f>F269</f>
        <v>14720.84</v>
      </c>
    </row>
    <row r="270" spans="1:11">
      <c r="A270" t="s">
        <v>59</v>
      </c>
      <c r="B270" t="s">
        <v>559</v>
      </c>
      <c r="C270">
        <v>52056</v>
      </c>
      <c r="D270">
        <v>4</v>
      </c>
      <c r="E270">
        <v>2019</v>
      </c>
      <c r="F270" s="21">
        <v>212647.212</v>
      </c>
      <c r="G270" s="754">
        <v>3571380.24</v>
      </c>
      <c r="H270" t="s">
        <v>241</v>
      </c>
      <c r="I270" s="755"/>
      <c r="J270" s="32" t="s">
        <v>1763</v>
      </c>
    </row>
    <row r="271" spans="1:11">
      <c r="A271" t="s">
        <v>59</v>
      </c>
      <c r="B271" t="s">
        <v>20</v>
      </c>
      <c r="C271">
        <v>54034</v>
      </c>
      <c r="D271" t="s">
        <v>326</v>
      </c>
      <c r="E271">
        <v>2019</v>
      </c>
      <c r="F271" s="758">
        <v>1824.405</v>
      </c>
      <c r="G271" s="754">
        <v>30699.642</v>
      </c>
      <c r="H271" t="s">
        <v>241</v>
      </c>
      <c r="I271" s="755">
        <f>F271</f>
        <v>1824.405</v>
      </c>
      <c r="J271" s="32" t="s">
        <v>2211</v>
      </c>
    </row>
    <row r="272" spans="1:11">
      <c r="A272" t="s">
        <v>59</v>
      </c>
      <c r="B272" t="s">
        <v>558</v>
      </c>
      <c r="C272">
        <v>54041</v>
      </c>
      <c r="D272">
        <v>11854</v>
      </c>
      <c r="E272">
        <v>2019</v>
      </c>
      <c r="F272" s="21">
        <v>38221.794999999998</v>
      </c>
      <c r="G272" s="754">
        <v>643046.90399999998</v>
      </c>
      <c r="H272" t="s">
        <v>241</v>
      </c>
      <c r="I272" s="755"/>
      <c r="J272" s="32" t="s">
        <v>1763</v>
      </c>
    </row>
    <row r="273" spans="1:10">
      <c r="A273" t="s">
        <v>59</v>
      </c>
      <c r="B273" t="s">
        <v>558</v>
      </c>
      <c r="C273">
        <v>54041</v>
      </c>
      <c r="D273">
        <v>11855</v>
      </c>
      <c r="E273">
        <v>2019</v>
      </c>
      <c r="F273" s="21">
        <v>38229.495000000003</v>
      </c>
      <c r="G273" s="754">
        <v>643178.94799999997</v>
      </c>
      <c r="H273" t="s">
        <v>241</v>
      </c>
      <c r="I273" s="755"/>
      <c r="J273" s="32" t="s">
        <v>1763</v>
      </c>
    </row>
    <row r="274" spans="1:10">
      <c r="A274" t="s">
        <v>59</v>
      </c>
      <c r="B274" t="s">
        <v>558</v>
      </c>
      <c r="C274">
        <v>54041</v>
      </c>
      <c r="D274">
        <v>11856</v>
      </c>
      <c r="E274">
        <v>2019</v>
      </c>
      <c r="F274" s="21">
        <v>37565.616999999998</v>
      </c>
      <c r="G274" s="754">
        <v>631977.76399999997</v>
      </c>
      <c r="H274" t="s">
        <v>241</v>
      </c>
      <c r="I274" s="755"/>
      <c r="J274" s="32" t="s">
        <v>1763</v>
      </c>
    </row>
    <row r="275" spans="1:10">
      <c r="A275" t="s">
        <v>59</v>
      </c>
      <c r="B275" t="s">
        <v>307</v>
      </c>
      <c r="C275">
        <v>54076</v>
      </c>
      <c r="D275">
        <v>1</v>
      </c>
      <c r="E275">
        <v>2019</v>
      </c>
      <c r="F275" s="21">
        <v>62272.6</v>
      </c>
      <c r="G275" s="754">
        <v>1047455.95</v>
      </c>
      <c r="H275" t="s">
        <v>241</v>
      </c>
      <c r="I275" s="755"/>
      <c r="J275" s="32" t="s">
        <v>1763</v>
      </c>
    </row>
    <row r="276" spans="1:10">
      <c r="A276" t="s">
        <v>59</v>
      </c>
      <c r="B276" t="s">
        <v>557</v>
      </c>
      <c r="C276">
        <v>54114</v>
      </c>
      <c r="D276" t="s">
        <v>286</v>
      </c>
      <c r="E276">
        <v>2019</v>
      </c>
      <c r="F276" s="21">
        <v>108561.272</v>
      </c>
      <c r="G276" s="754">
        <v>1826754.9620000001</v>
      </c>
      <c r="H276" t="s">
        <v>241</v>
      </c>
      <c r="I276" s="755"/>
      <c r="J276" s="32" t="s">
        <v>1763</v>
      </c>
    </row>
    <row r="277" spans="1:10">
      <c r="A277" t="s">
        <v>59</v>
      </c>
      <c r="B277" t="s">
        <v>557</v>
      </c>
      <c r="C277">
        <v>54114</v>
      </c>
      <c r="D277" t="s">
        <v>287</v>
      </c>
      <c r="E277">
        <v>2019</v>
      </c>
      <c r="F277" s="21">
        <v>161033.78599999999</v>
      </c>
      <c r="G277" s="754">
        <v>2709653.1839999999</v>
      </c>
      <c r="H277" t="s">
        <v>241</v>
      </c>
      <c r="I277" s="755"/>
      <c r="J277" s="32" t="s">
        <v>1763</v>
      </c>
    </row>
    <row r="278" spans="1:10">
      <c r="A278" t="s">
        <v>59</v>
      </c>
      <c r="B278" t="s">
        <v>540</v>
      </c>
      <c r="C278">
        <v>54131</v>
      </c>
      <c r="D278" t="s">
        <v>541</v>
      </c>
      <c r="E278">
        <v>2019</v>
      </c>
      <c r="F278" s="21">
        <v>9245.1669999999995</v>
      </c>
      <c r="G278" s="754">
        <v>155575.42499999999</v>
      </c>
      <c r="H278" t="s">
        <v>241</v>
      </c>
      <c r="I278" s="755"/>
      <c r="J278" s="32" t="s">
        <v>1763</v>
      </c>
    </row>
    <row r="279" spans="1:10">
      <c r="A279" t="s">
        <v>59</v>
      </c>
      <c r="B279" t="s">
        <v>1906</v>
      </c>
      <c r="C279">
        <v>54149</v>
      </c>
      <c r="D279">
        <v>1</v>
      </c>
      <c r="E279">
        <v>2019</v>
      </c>
      <c r="F279" s="21">
        <v>197236.769</v>
      </c>
      <c r="G279" s="754">
        <v>3318798.5559999999</v>
      </c>
      <c r="H279" t="s">
        <v>238</v>
      </c>
      <c r="I279" s="755"/>
      <c r="J279" s="32" t="s">
        <v>1763</v>
      </c>
    </row>
    <row r="280" spans="1:10">
      <c r="A280" t="s">
        <v>59</v>
      </c>
      <c r="B280" t="s">
        <v>311</v>
      </c>
      <c r="C280">
        <v>54547</v>
      </c>
      <c r="D280">
        <v>1</v>
      </c>
      <c r="E280">
        <v>2019</v>
      </c>
      <c r="F280" s="21">
        <v>576321.37699999998</v>
      </c>
      <c r="G280" s="754">
        <v>9697750.4100000001</v>
      </c>
      <c r="H280" t="s">
        <v>241</v>
      </c>
      <c r="I280" s="755"/>
      <c r="J280" s="32" t="s">
        <v>1763</v>
      </c>
    </row>
    <row r="281" spans="1:10">
      <c r="A281" t="s">
        <v>59</v>
      </c>
      <c r="B281" t="s">
        <v>311</v>
      </c>
      <c r="C281">
        <v>54547</v>
      </c>
      <c r="D281">
        <v>2</v>
      </c>
      <c r="E281">
        <v>2019</v>
      </c>
      <c r="F281" s="21">
        <v>534463.78200000001</v>
      </c>
      <c r="G281" s="754">
        <v>8993427.7170000002</v>
      </c>
      <c r="H281" t="s">
        <v>241</v>
      </c>
      <c r="I281" s="755"/>
      <c r="J281" s="32" t="s">
        <v>1763</v>
      </c>
    </row>
    <row r="282" spans="1:10">
      <c r="A282" t="s">
        <v>59</v>
      </c>
      <c r="B282" t="s">
        <v>311</v>
      </c>
      <c r="C282">
        <v>54547</v>
      </c>
      <c r="D282">
        <v>3</v>
      </c>
      <c r="E282">
        <v>2019</v>
      </c>
      <c r="F282" s="21">
        <v>518361.25</v>
      </c>
      <c r="G282" s="754">
        <v>8722408.1170000006</v>
      </c>
      <c r="H282" t="s">
        <v>241</v>
      </c>
      <c r="I282" s="755"/>
      <c r="J282" s="32" t="s">
        <v>1763</v>
      </c>
    </row>
    <row r="283" spans="1:10">
      <c r="A283" t="s">
        <v>59</v>
      </c>
      <c r="B283" t="s">
        <v>311</v>
      </c>
      <c r="C283">
        <v>54547</v>
      </c>
      <c r="D283">
        <v>4</v>
      </c>
      <c r="E283">
        <v>2019</v>
      </c>
      <c r="F283" s="21">
        <v>512897.397</v>
      </c>
      <c r="G283" s="754">
        <v>8630472.2129999995</v>
      </c>
      <c r="H283" t="s">
        <v>241</v>
      </c>
      <c r="I283" s="755"/>
      <c r="J283" s="32" t="s">
        <v>1763</v>
      </c>
    </row>
    <row r="284" spans="1:10">
      <c r="A284" t="s">
        <v>59</v>
      </c>
      <c r="B284" t="s">
        <v>568</v>
      </c>
      <c r="C284">
        <v>54574</v>
      </c>
      <c r="D284">
        <v>1</v>
      </c>
      <c r="E284">
        <v>2019</v>
      </c>
      <c r="F284" s="758">
        <v>39149.357000000004</v>
      </c>
      <c r="G284" s="754">
        <v>658762.97900000005</v>
      </c>
      <c r="H284" t="s">
        <v>241</v>
      </c>
      <c r="I284" s="755">
        <f>F284</f>
        <v>39149.357000000004</v>
      </c>
    </row>
    <row r="285" spans="1:10">
      <c r="A285" t="s">
        <v>59</v>
      </c>
      <c r="B285" t="s">
        <v>568</v>
      </c>
      <c r="C285">
        <v>54574</v>
      </c>
      <c r="D285">
        <v>2</v>
      </c>
      <c r="E285">
        <v>2019</v>
      </c>
      <c r="F285" s="758">
        <v>6598.8249999999998</v>
      </c>
      <c r="G285" s="754">
        <v>111039.749</v>
      </c>
      <c r="H285" t="s">
        <v>241</v>
      </c>
      <c r="I285" s="755">
        <f>F285</f>
        <v>6598.8249999999998</v>
      </c>
    </row>
    <row r="286" spans="1:10">
      <c r="A286" t="s">
        <v>59</v>
      </c>
      <c r="B286" t="s">
        <v>312</v>
      </c>
      <c r="C286">
        <v>54592</v>
      </c>
      <c r="D286">
        <v>1</v>
      </c>
      <c r="E286">
        <v>2019</v>
      </c>
      <c r="F286" s="758">
        <v>803.55799999999999</v>
      </c>
      <c r="G286" s="754">
        <v>13519.895</v>
      </c>
      <c r="H286" t="s">
        <v>241</v>
      </c>
      <c r="I286" s="755">
        <f>F286</f>
        <v>803.55799999999999</v>
      </c>
    </row>
    <row r="287" spans="1:10">
      <c r="A287" t="s">
        <v>59</v>
      </c>
      <c r="B287" t="s">
        <v>282</v>
      </c>
      <c r="C287">
        <v>54593</v>
      </c>
      <c r="D287">
        <v>1</v>
      </c>
      <c r="E287">
        <v>2019</v>
      </c>
      <c r="F287" s="758">
        <v>5086.2269999999999</v>
      </c>
      <c r="G287" s="754">
        <v>85591.612999999998</v>
      </c>
      <c r="H287" t="s">
        <v>241</v>
      </c>
      <c r="I287" s="755">
        <f>F287</f>
        <v>5086.2269999999999</v>
      </c>
      <c r="J287" s="32"/>
    </row>
    <row r="288" spans="1:10">
      <c r="A288" t="s">
        <v>59</v>
      </c>
      <c r="B288" t="s">
        <v>163</v>
      </c>
      <c r="C288">
        <v>54914</v>
      </c>
      <c r="D288">
        <v>1</v>
      </c>
      <c r="E288">
        <v>2019</v>
      </c>
      <c r="F288" s="21">
        <v>551989.52500000002</v>
      </c>
      <c r="G288" s="754">
        <v>9240785.8880000003</v>
      </c>
      <c r="H288" t="s">
        <v>241</v>
      </c>
      <c r="I288" s="755"/>
      <c r="J288" s="32" t="s">
        <v>1763</v>
      </c>
    </row>
    <row r="289" spans="1:10">
      <c r="A289" t="s">
        <v>59</v>
      </c>
      <c r="B289" t="s">
        <v>163</v>
      </c>
      <c r="C289">
        <v>54914</v>
      </c>
      <c r="D289">
        <v>2</v>
      </c>
      <c r="E289">
        <v>2019</v>
      </c>
      <c r="F289" s="21">
        <v>533645.59</v>
      </c>
      <c r="G289" s="754">
        <v>8956621.8249999993</v>
      </c>
      <c r="H289" t="s">
        <v>241</v>
      </c>
      <c r="I289" s="755"/>
      <c r="J289" s="32" t="s">
        <v>1763</v>
      </c>
    </row>
    <row r="290" spans="1:10">
      <c r="A290" t="s">
        <v>59</v>
      </c>
      <c r="B290" t="s">
        <v>497</v>
      </c>
      <c r="C290">
        <v>55243</v>
      </c>
      <c r="D290" t="s">
        <v>498</v>
      </c>
      <c r="E290">
        <v>2019</v>
      </c>
      <c r="F290" s="758">
        <v>527.6</v>
      </c>
      <c r="G290" s="754">
        <v>8822.4</v>
      </c>
      <c r="H290" t="s">
        <v>238</v>
      </c>
      <c r="I290" s="755">
        <f>F290</f>
        <v>527.6</v>
      </c>
      <c r="J290" s="32"/>
    </row>
    <row r="291" spans="1:10">
      <c r="A291" t="s">
        <v>59</v>
      </c>
      <c r="B291" t="s">
        <v>497</v>
      </c>
      <c r="C291">
        <v>55243</v>
      </c>
      <c r="D291" t="s">
        <v>499</v>
      </c>
      <c r="E291">
        <v>2019</v>
      </c>
      <c r="F291" s="758">
        <v>527.6</v>
      </c>
      <c r="G291" s="754">
        <v>8822.4</v>
      </c>
      <c r="H291" t="s">
        <v>238</v>
      </c>
      <c r="I291" s="755">
        <f t="shared" ref="I291:I336" si="9">F291</f>
        <v>527.6</v>
      </c>
    </row>
    <row r="292" spans="1:10">
      <c r="A292" t="s">
        <v>59</v>
      </c>
      <c r="B292" t="s">
        <v>497</v>
      </c>
      <c r="C292">
        <v>55243</v>
      </c>
      <c r="D292" t="s">
        <v>500</v>
      </c>
      <c r="E292">
        <v>2019</v>
      </c>
      <c r="F292" s="758">
        <v>689</v>
      </c>
      <c r="G292" s="754">
        <v>11656.1</v>
      </c>
      <c r="H292" t="s">
        <v>238</v>
      </c>
      <c r="I292" s="755">
        <f t="shared" si="9"/>
        <v>689</v>
      </c>
    </row>
    <row r="293" spans="1:10">
      <c r="A293" t="s">
        <v>59</v>
      </c>
      <c r="B293" t="s">
        <v>497</v>
      </c>
      <c r="C293">
        <v>55243</v>
      </c>
      <c r="D293" t="s">
        <v>501</v>
      </c>
      <c r="E293">
        <v>2019</v>
      </c>
      <c r="F293" s="758">
        <v>689</v>
      </c>
      <c r="G293" s="754">
        <v>11656.1</v>
      </c>
      <c r="H293" t="s">
        <v>238</v>
      </c>
      <c r="I293" s="755">
        <f t="shared" si="9"/>
        <v>689</v>
      </c>
      <c r="J293" s="32"/>
    </row>
    <row r="294" spans="1:10">
      <c r="A294" t="s">
        <v>59</v>
      </c>
      <c r="B294" t="s">
        <v>497</v>
      </c>
      <c r="C294">
        <v>55243</v>
      </c>
      <c r="D294" t="s">
        <v>502</v>
      </c>
      <c r="E294">
        <v>2019</v>
      </c>
      <c r="F294" s="758">
        <v>954.9</v>
      </c>
      <c r="G294" s="754">
        <v>15889.1</v>
      </c>
      <c r="H294" t="s">
        <v>238</v>
      </c>
      <c r="I294" s="755">
        <f t="shared" si="9"/>
        <v>954.9</v>
      </c>
      <c r="J294" s="32"/>
    </row>
    <row r="295" spans="1:10">
      <c r="A295" t="s">
        <v>59</v>
      </c>
      <c r="B295" t="s">
        <v>497</v>
      </c>
      <c r="C295">
        <v>55243</v>
      </c>
      <c r="D295" t="s">
        <v>503</v>
      </c>
      <c r="E295">
        <v>2019</v>
      </c>
      <c r="F295" s="758">
        <v>954.9</v>
      </c>
      <c r="G295" s="754">
        <v>15889.1</v>
      </c>
      <c r="H295" t="s">
        <v>238</v>
      </c>
      <c r="I295" s="755">
        <f t="shared" si="9"/>
        <v>954.9</v>
      </c>
      <c r="J295" s="32"/>
    </row>
    <row r="296" spans="1:10">
      <c r="A296" t="s">
        <v>59</v>
      </c>
      <c r="B296" t="s">
        <v>497</v>
      </c>
      <c r="C296">
        <v>55243</v>
      </c>
      <c r="D296" t="s">
        <v>504</v>
      </c>
      <c r="E296">
        <v>2019</v>
      </c>
      <c r="F296" s="758">
        <v>648.9</v>
      </c>
      <c r="G296" s="754">
        <v>10832.3</v>
      </c>
      <c r="H296" t="s">
        <v>238</v>
      </c>
      <c r="I296" s="755">
        <f t="shared" si="9"/>
        <v>648.9</v>
      </c>
      <c r="J296" s="32"/>
    </row>
    <row r="297" spans="1:10">
      <c r="A297" t="s">
        <v>59</v>
      </c>
      <c r="B297" t="s">
        <v>497</v>
      </c>
      <c r="C297">
        <v>55243</v>
      </c>
      <c r="D297" t="s">
        <v>505</v>
      </c>
      <c r="E297">
        <v>2019</v>
      </c>
      <c r="F297" s="758">
        <v>648.9</v>
      </c>
      <c r="G297" s="754">
        <v>10832.3</v>
      </c>
      <c r="H297" t="s">
        <v>238</v>
      </c>
      <c r="I297" s="755">
        <f t="shared" si="9"/>
        <v>648.9</v>
      </c>
      <c r="J297" s="32"/>
    </row>
    <row r="298" spans="1:10">
      <c r="A298" t="s">
        <v>59</v>
      </c>
      <c r="B298" t="s">
        <v>497</v>
      </c>
      <c r="C298">
        <v>55243</v>
      </c>
      <c r="D298" t="s">
        <v>506</v>
      </c>
      <c r="E298">
        <v>2019</v>
      </c>
      <c r="F298" s="758">
        <v>238.5</v>
      </c>
      <c r="G298" s="754">
        <v>4016.2</v>
      </c>
      <c r="H298" t="s">
        <v>238</v>
      </c>
      <c r="I298" s="755">
        <f t="shared" si="9"/>
        <v>238.5</v>
      </c>
      <c r="J298" s="32"/>
    </row>
    <row r="299" spans="1:10">
      <c r="A299" t="s">
        <v>59</v>
      </c>
      <c r="B299" t="s">
        <v>497</v>
      </c>
      <c r="C299">
        <v>55243</v>
      </c>
      <c r="D299" t="s">
        <v>507</v>
      </c>
      <c r="E299">
        <v>2019</v>
      </c>
      <c r="F299" s="758">
        <v>238.5</v>
      </c>
      <c r="G299" s="754">
        <v>4016.2</v>
      </c>
      <c r="H299" t="s">
        <v>238</v>
      </c>
      <c r="I299" s="755">
        <f t="shared" si="9"/>
        <v>238.5</v>
      </c>
      <c r="J299" s="32"/>
    </row>
    <row r="300" spans="1:10">
      <c r="A300" t="s">
        <v>59</v>
      </c>
      <c r="B300" t="s">
        <v>497</v>
      </c>
      <c r="C300">
        <v>55243</v>
      </c>
      <c r="D300" t="s">
        <v>508</v>
      </c>
      <c r="E300">
        <v>2019</v>
      </c>
      <c r="F300" s="758">
        <v>558.1</v>
      </c>
      <c r="G300" s="754">
        <v>9425.9</v>
      </c>
      <c r="H300" t="s">
        <v>238</v>
      </c>
      <c r="I300" s="755">
        <f t="shared" si="9"/>
        <v>558.1</v>
      </c>
      <c r="J300" s="32"/>
    </row>
    <row r="301" spans="1:10">
      <c r="A301" t="s">
        <v>59</v>
      </c>
      <c r="B301" t="s">
        <v>497</v>
      </c>
      <c r="C301">
        <v>55243</v>
      </c>
      <c r="D301" t="s">
        <v>509</v>
      </c>
      <c r="E301">
        <v>2019</v>
      </c>
      <c r="F301" s="758">
        <v>558.1</v>
      </c>
      <c r="G301" s="754">
        <v>9425.9</v>
      </c>
      <c r="H301" t="s">
        <v>238</v>
      </c>
      <c r="I301" s="755">
        <f t="shared" si="9"/>
        <v>558.1</v>
      </c>
      <c r="J301" s="32"/>
    </row>
    <row r="302" spans="1:10">
      <c r="A302" t="s">
        <v>59</v>
      </c>
      <c r="B302" t="s">
        <v>497</v>
      </c>
      <c r="C302">
        <v>55243</v>
      </c>
      <c r="D302" t="s">
        <v>510</v>
      </c>
      <c r="E302">
        <v>2019</v>
      </c>
      <c r="F302" s="758">
        <v>273.3</v>
      </c>
      <c r="G302" s="754">
        <v>4607.6000000000004</v>
      </c>
      <c r="H302" t="s">
        <v>238</v>
      </c>
      <c r="I302" s="755">
        <f t="shared" si="9"/>
        <v>273.3</v>
      </c>
      <c r="J302" s="32"/>
    </row>
    <row r="303" spans="1:10">
      <c r="A303" t="s">
        <v>59</v>
      </c>
      <c r="B303" t="s">
        <v>497</v>
      </c>
      <c r="C303">
        <v>55243</v>
      </c>
      <c r="D303" t="s">
        <v>511</v>
      </c>
      <c r="E303">
        <v>2019</v>
      </c>
      <c r="F303" s="758">
        <v>273.3</v>
      </c>
      <c r="G303" s="754">
        <v>4607.6000000000004</v>
      </c>
      <c r="H303" t="s">
        <v>238</v>
      </c>
      <c r="I303" s="755">
        <f t="shared" si="9"/>
        <v>273.3</v>
      </c>
      <c r="J303" s="32"/>
    </row>
    <row r="304" spans="1:10">
      <c r="A304" t="s">
        <v>59</v>
      </c>
      <c r="B304" t="s">
        <v>497</v>
      </c>
      <c r="C304">
        <v>55243</v>
      </c>
      <c r="D304" t="s">
        <v>512</v>
      </c>
      <c r="E304">
        <v>2019</v>
      </c>
      <c r="F304" s="758">
        <v>1025.3</v>
      </c>
      <c r="G304" s="754">
        <v>17371.8</v>
      </c>
      <c r="H304" t="s">
        <v>238</v>
      </c>
      <c r="I304" s="755">
        <f t="shared" si="9"/>
        <v>1025.3</v>
      </c>
      <c r="J304" s="32"/>
    </row>
    <row r="305" spans="1:10">
      <c r="A305" t="s">
        <v>59</v>
      </c>
      <c r="B305" t="s">
        <v>497</v>
      </c>
      <c r="C305">
        <v>55243</v>
      </c>
      <c r="D305" t="s">
        <v>513</v>
      </c>
      <c r="E305">
        <v>2019</v>
      </c>
      <c r="F305" s="758">
        <v>1025.3</v>
      </c>
      <c r="G305" s="754">
        <v>17371.8</v>
      </c>
      <c r="H305" t="s">
        <v>238</v>
      </c>
      <c r="I305" s="755">
        <f t="shared" si="9"/>
        <v>1025.3</v>
      </c>
      <c r="J305" s="32"/>
    </row>
    <row r="306" spans="1:10">
      <c r="A306" t="s">
        <v>59</v>
      </c>
      <c r="B306" t="s">
        <v>497</v>
      </c>
      <c r="C306">
        <v>55243</v>
      </c>
      <c r="D306" t="s">
        <v>514</v>
      </c>
      <c r="E306">
        <v>2019</v>
      </c>
      <c r="F306" s="758">
        <v>816.1</v>
      </c>
      <c r="G306" s="754">
        <v>13776</v>
      </c>
      <c r="H306" t="s">
        <v>238</v>
      </c>
      <c r="I306" s="755">
        <f t="shared" si="9"/>
        <v>816.1</v>
      </c>
      <c r="J306" s="32"/>
    </row>
    <row r="307" spans="1:10">
      <c r="A307" t="s">
        <v>59</v>
      </c>
      <c r="B307" t="s">
        <v>497</v>
      </c>
      <c r="C307">
        <v>55243</v>
      </c>
      <c r="D307" t="s">
        <v>515</v>
      </c>
      <c r="E307">
        <v>2019</v>
      </c>
      <c r="F307" s="758">
        <v>816.1</v>
      </c>
      <c r="G307" s="754">
        <v>13776</v>
      </c>
      <c r="H307" t="s">
        <v>238</v>
      </c>
      <c r="I307" s="755">
        <f t="shared" si="9"/>
        <v>816.1</v>
      </c>
      <c r="J307" s="32"/>
    </row>
    <row r="308" spans="1:10">
      <c r="A308" t="s">
        <v>59</v>
      </c>
      <c r="B308" t="s">
        <v>497</v>
      </c>
      <c r="C308">
        <v>55243</v>
      </c>
      <c r="D308" t="s">
        <v>516</v>
      </c>
      <c r="E308">
        <v>2019</v>
      </c>
      <c r="F308" s="758">
        <v>737.8</v>
      </c>
      <c r="G308" s="754">
        <v>12487.7</v>
      </c>
      <c r="H308" t="s">
        <v>238</v>
      </c>
      <c r="I308" s="755">
        <f t="shared" si="9"/>
        <v>737.8</v>
      </c>
      <c r="J308" s="32"/>
    </row>
    <row r="309" spans="1:10">
      <c r="A309" t="s">
        <v>59</v>
      </c>
      <c r="B309" t="s">
        <v>497</v>
      </c>
      <c r="C309">
        <v>55243</v>
      </c>
      <c r="D309" t="s">
        <v>517</v>
      </c>
      <c r="E309">
        <v>2019</v>
      </c>
      <c r="F309" s="758">
        <v>737.8</v>
      </c>
      <c r="G309" s="754">
        <v>12487.7</v>
      </c>
      <c r="H309" t="s">
        <v>238</v>
      </c>
      <c r="I309" s="755">
        <f t="shared" si="9"/>
        <v>737.8</v>
      </c>
      <c r="J309" s="32"/>
    </row>
    <row r="310" spans="1:10">
      <c r="A310" t="s">
        <v>59</v>
      </c>
      <c r="B310" t="s">
        <v>497</v>
      </c>
      <c r="C310">
        <v>55243</v>
      </c>
      <c r="D310" t="s">
        <v>518</v>
      </c>
      <c r="E310">
        <v>2019</v>
      </c>
      <c r="F310" s="758">
        <v>621.20000000000005</v>
      </c>
      <c r="G310" s="754">
        <v>10483</v>
      </c>
      <c r="H310" t="s">
        <v>238</v>
      </c>
      <c r="I310" s="755">
        <f t="shared" si="9"/>
        <v>621.20000000000005</v>
      </c>
      <c r="J310" s="32"/>
    </row>
    <row r="311" spans="1:10">
      <c r="A311" t="s">
        <v>59</v>
      </c>
      <c r="B311" t="s">
        <v>497</v>
      </c>
      <c r="C311">
        <v>55243</v>
      </c>
      <c r="D311" t="s">
        <v>519</v>
      </c>
      <c r="E311">
        <v>2019</v>
      </c>
      <c r="F311" s="758">
        <v>621.20000000000005</v>
      </c>
      <c r="G311" s="754">
        <v>10483</v>
      </c>
      <c r="H311" t="s">
        <v>238</v>
      </c>
      <c r="I311" s="755">
        <f t="shared" si="9"/>
        <v>621.20000000000005</v>
      </c>
      <c r="J311" s="32"/>
    </row>
    <row r="312" spans="1:10">
      <c r="A312" t="s">
        <v>59</v>
      </c>
      <c r="B312" t="s">
        <v>497</v>
      </c>
      <c r="C312">
        <v>55243</v>
      </c>
      <c r="D312" t="s">
        <v>520</v>
      </c>
      <c r="E312">
        <v>2019</v>
      </c>
      <c r="F312" s="758">
        <v>504.9</v>
      </c>
      <c r="G312" s="754">
        <v>8515</v>
      </c>
      <c r="H312" t="s">
        <v>238</v>
      </c>
      <c r="I312" s="755">
        <f t="shared" si="9"/>
        <v>504.9</v>
      </c>
      <c r="J312" s="32"/>
    </row>
    <row r="313" spans="1:10">
      <c r="A313" t="s">
        <v>59</v>
      </c>
      <c r="B313" t="s">
        <v>497</v>
      </c>
      <c r="C313">
        <v>55243</v>
      </c>
      <c r="D313" t="s">
        <v>521</v>
      </c>
      <c r="E313">
        <v>2019</v>
      </c>
      <c r="F313" s="758">
        <v>511.5</v>
      </c>
      <c r="G313" s="754">
        <v>8515</v>
      </c>
      <c r="H313" t="s">
        <v>238</v>
      </c>
      <c r="I313" s="755">
        <f t="shared" si="9"/>
        <v>511.5</v>
      </c>
      <c r="J313" s="32"/>
    </row>
    <row r="314" spans="1:10">
      <c r="A314" t="s">
        <v>59</v>
      </c>
      <c r="B314" t="s">
        <v>188</v>
      </c>
      <c r="C314">
        <v>55375</v>
      </c>
      <c r="D314" t="s">
        <v>279</v>
      </c>
      <c r="E314">
        <v>2019</v>
      </c>
      <c r="F314" s="758">
        <v>721401.745</v>
      </c>
      <c r="G314" s="754">
        <v>12065548.73</v>
      </c>
      <c r="H314" t="s">
        <v>241</v>
      </c>
      <c r="I314" s="755">
        <f t="shared" si="9"/>
        <v>721401.745</v>
      </c>
      <c r="J314" s="32"/>
    </row>
    <row r="315" spans="1:10">
      <c r="A315" t="s">
        <v>59</v>
      </c>
      <c r="B315" t="s">
        <v>188</v>
      </c>
      <c r="C315">
        <v>55375</v>
      </c>
      <c r="D315" t="s">
        <v>280</v>
      </c>
      <c r="E315">
        <v>2019</v>
      </c>
      <c r="F315" s="758">
        <v>675677.70900000003</v>
      </c>
      <c r="G315" s="754">
        <v>11329592.093</v>
      </c>
      <c r="H315" t="s">
        <v>241</v>
      </c>
      <c r="I315" s="755">
        <f t="shared" si="9"/>
        <v>675677.70900000003</v>
      </c>
      <c r="J315" s="32"/>
    </row>
    <row r="316" spans="1:10">
      <c r="A316" t="s">
        <v>59</v>
      </c>
      <c r="B316" t="s">
        <v>188</v>
      </c>
      <c r="C316">
        <v>55375</v>
      </c>
      <c r="D316" t="s">
        <v>1152</v>
      </c>
      <c r="E316">
        <v>2019</v>
      </c>
      <c r="F316" s="758">
        <v>646593.15700000001</v>
      </c>
      <c r="G316" s="754">
        <v>10810683.311000001</v>
      </c>
      <c r="H316" t="s">
        <v>241</v>
      </c>
      <c r="I316" s="755">
        <f t="shared" si="9"/>
        <v>646593.15700000001</v>
      </c>
    </row>
    <row r="317" spans="1:10">
      <c r="A317" t="s">
        <v>59</v>
      </c>
      <c r="B317" t="s">
        <v>188</v>
      </c>
      <c r="C317">
        <v>55375</v>
      </c>
      <c r="D317" t="s">
        <v>1153</v>
      </c>
      <c r="E317">
        <v>2019</v>
      </c>
      <c r="F317" s="758">
        <v>656704.40800000005</v>
      </c>
      <c r="G317" s="754">
        <v>10975947.032</v>
      </c>
      <c r="H317" t="s">
        <v>241</v>
      </c>
      <c r="I317" s="755">
        <f t="shared" si="9"/>
        <v>656704.40800000005</v>
      </c>
      <c r="J317" s="32"/>
    </row>
    <row r="318" spans="1:10">
      <c r="A318" t="s">
        <v>59</v>
      </c>
      <c r="B318" t="s">
        <v>281</v>
      </c>
      <c r="C318">
        <v>55405</v>
      </c>
      <c r="D318">
        <v>1</v>
      </c>
      <c r="E318">
        <v>2019</v>
      </c>
      <c r="F318" s="758">
        <v>480939.25599999999</v>
      </c>
      <c r="G318" s="754">
        <v>8092731.9390000002</v>
      </c>
      <c r="H318" t="s">
        <v>241</v>
      </c>
      <c r="I318" s="755">
        <f t="shared" si="9"/>
        <v>480939.25599999999</v>
      </c>
      <c r="J318" s="32"/>
    </row>
    <row r="319" spans="1:10">
      <c r="A319" t="s">
        <v>59</v>
      </c>
      <c r="B319" t="s">
        <v>281</v>
      </c>
      <c r="C319">
        <v>55405</v>
      </c>
      <c r="D319">
        <v>2</v>
      </c>
      <c r="E319">
        <v>2019</v>
      </c>
      <c r="F319" s="758">
        <v>247565.03400000001</v>
      </c>
      <c r="G319" s="754">
        <v>4165772.2609999999</v>
      </c>
      <c r="H319" t="s">
        <v>241</v>
      </c>
      <c r="I319" s="755">
        <f t="shared" si="9"/>
        <v>247565.03400000001</v>
      </c>
      <c r="J319" s="32"/>
    </row>
    <row r="320" spans="1:10">
      <c r="A320" t="s">
        <v>59</v>
      </c>
      <c r="B320" t="s">
        <v>281</v>
      </c>
      <c r="C320">
        <v>55405</v>
      </c>
      <c r="D320">
        <v>3</v>
      </c>
      <c r="E320">
        <v>2019</v>
      </c>
      <c r="F320" s="758">
        <v>517119.51199999999</v>
      </c>
      <c r="G320" s="754">
        <v>8701527.5590000004</v>
      </c>
      <c r="H320" t="s">
        <v>241</v>
      </c>
      <c r="I320" s="755">
        <f t="shared" si="9"/>
        <v>517119.51199999999</v>
      </c>
      <c r="J320" s="32"/>
    </row>
    <row r="321" spans="1:10">
      <c r="A321" t="s">
        <v>59</v>
      </c>
      <c r="B321" t="s">
        <v>283</v>
      </c>
      <c r="C321">
        <v>55699</v>
      </c>
      <c r="D321">
        <v>1</v>
      </c>
      <c r="E321">
        <v>2019</v>
      </c>
      <c r="F321" s="758">
        <v>81081.649000000005</v>
      </c>
      <c r="G321" s="754">
        <v>1364364.19</v>
      </c>
      <c r="H321" t="s">
        <v>238</v>
      </c>
      <c r="I321" s="755">
        <f t="shared" si="9"/>
        <v>81081.649000000005</v>
      </c>
      <c r="J321" s="32"/>
    </row>
    <row r="322" spans="1:10">
      <c r="A322" t="s">
        <v>59</v>
      </c>
      <c r="B322" t="s">
        <v>283</v>
      </c>
      <c r="C322">
        <v>55699</v>
      </c>
      <c r="D322">
        <v>2</v>
      </c>
      <c r="E322">
        <v>2019</v>
      </c>
      <c r="F322" s="758">
        <v>7530.8540000000003</v>
      </c>
      <c r="G322" s="754">
        <v>92817.714999999997</v>
      </c>
      <c r="H322" t="s">
        <v>238</v>
      </c>
      <c r="I322" s="755">
        <f t="shared" si="9"/>
        <v>7530.8540000000003</v>
      </c>
      <c r="J322" s="32"/>
    </row>
    <row r="323" spans="1:10">
      <c r="A323" t="s">
        <v>59</v>
      </c>
      <c r="B323" t="s">
        <v>451</v>
      </c>
      <c r="C323">
        <v>55786</v>
      </c>
      <c r="D323" t="s">
        <v>255</v>
      </c>
      <c r="E323">
        <v>2019</v>
      </c>
      <c r="F323" s="758">
        <v>19551.553</v>
      </c>
      <c r="G323" s="754">
        <v>328953.19099999999</v>
      </c>
      <c r="H323" t="s">
        <v>238</v>
      </c>
      <c r="I323" s="755">
        <f t="shared" si="9"/>
        <v>19551.553</v>
      </c>
      <c r="J323" s="32"/>
    </row>
    <row r="324" spans="1:10">
      <c r="A324" t="s">
        <v>59</v>
      </c>
      <c r="B324" t="s">
        <v>451</v>
      </c>
      <c r="C324">
        <v>55786</v>
      </c>
      <c r="D324" t="s">
        <v>256</v>
      </c>
      <c r="E324">
        <v>2019</v>
      </c>
      <c r="F324" s="758">
        <v>18282.302</v>
      </c>
      <c r="G324" s="754">
        <v>307624.49</v>
      </c>
      <c r="H324" t="s">
        <v>238</v>
      </c>
      <c r="I324" s="755">
        <f t="shared" si="9"/>
        <v>18282.302</v>
      </c>
      <c r="J324" s="32"/>
    </row>
    <row r="325" spans="1:10">
      <c r="A325" t="s">
        <v>59</v>
      </c>
      <c r="B325" t="s">
        <v>453</v>
      </c>
      <c r="C325">
        <v>55787</v>
      </c>
      <c r="D325" t="s">
        <v>255</v>
      </c>
      <c r="E325">
        <v>2019</v>
      </c>
      <c r="F325" s="758">
        <v>1814.03</v>
      </c>
      <c r="G325" s="754">
        <v>22358.032999999999</v>
      </c>
      <c r="H325" t="s">
        <v>238</v>
      </c>
      <c r="I325" s="755">
        <f t="shared" si="9"/>
        <v>1814.03</v>
      </c>
      <c r="J325" s="32"/>
    </row>
    <row r="326" spans="1:10">
      <c r="A326" t="s">
        <v>59</v>
      </c>
      <c r="B326" t="s">
        <v>453</v>
      </c>
      <c r="C326">
        <v>55787</v>
      </c>
      <c r="D326" t="s">
        <v>256</v>
      </c>
      <c r="E326">
        <v>2019</v>
      </c>
      <c r="F326" s="758">
        <v>1876.5139999999999</v>
      </c>
      <c r="G326" s="754">
        <v>23127.633999999998</v>
      </c>
      <c r="H326" t="s">
        <v>238</v>
      </c>
      <c r="I326" s="755">
        <f t="shared" si="9"/>
        <v>1876.5139999999999</v>
      </c>
    </row>
    <row r="327" spans="1:10">
      <c r="A327" t="s">
        <v>59</v>
      </c>
      <c r="B327" t="s">
        <v>302</v>
      </c>
      <c r="C327">
        <v>55969</v>
      </c>
      <c r="D327" t="s">
        <v>303</v>
      </c>
      <c r="E327">
        <v>2019</v>
      </c>
      <c r="F327" s="758">
        <v>25446.458999999999</v>
      </c>
      <c r="G327" s="754">
        <v>313598.48499999999</v>
      </c>
      <c r="H327" t="s">
        <v>238</v>
      </c>
      <c r="I327" s="755">
        <f t="shared" si="9"/>
        <v>25446.458999999999</v>
      </c>
    </row>
    <row r="328" spans="1:10">
      <c r="A328" t="s">
        <v>59</v>
      </c>
      <c r="B328" t="s">
        <v>452</v>
      </c>
      <c r="C328">
        <v>56032</v>
      </c>
      <c r="D328">
        <v>1</v>
      </c>
      <c r="E328">
        <v>2019</v>
      </c>
      <c r="F328" s="758">
        <v>24764.017</v>
      </c>
      <c r="G328" s="754">
        <v>416554.79399999999</v>
      </c>
      <c r="H328" t="s">
        <v>238</v>
      </c>
      <c r="I328" s="755">
        <f t="shared" si="9"/>
        <v>24764.017</v>
      </c>
      <c r="J328" s="32"/>
    </row>
    <row r="329" spans="1:10">
      <c r="A329" t="s">
        <v>59</v>
      </c>
      <c r="B329" t="s">
        <v>315</v>
      </c>
      <c r="C329">
        <v>56188</v>
      </c>
      <c r="D329">
        <v>1</v>
      </c>
      <c r="E329">
        <v>2019</v>
      </c>
      <c r="F329" s="758">
        <v>35437.587</v>
      </c>
      <c r="G329" s="754">
        <v>597748.36600000004</v>
      </c>
      <c r="H329" t="s">
        <v>241</v>
      </c>
      <c r="I329" s="755">
        <f t="shared" si="9"/>
        <v>35437.587</v>
      </c>
      <c r="J329" s="32"/>
    </row>
    <row r="330" spans="1:10">
      <c r="A330" t="s">
        <v>59</v>
      </c>
      <c r="B330" t="s">
        <v>316</v>
      </c>
      <c r="C330">
        <v>56196</v>
      </c>
      <c r="D330" t="s">
        <v>317</v>
      </c>
      <c r="E330">
        <v>2019</v>
      </c>
      <c r="F330" s="758">
        <v>540325.16299999994</v>
      </c>
      <c r="G330" s="754">
        <v>9042359.0500000007</v>
      </c>
      <c r="H330" t="s">
        <v>241</v>
      </c>
      <c r="I330" s="755">
        <f t="shared" si="9"/>
        <v>540325.16299999994</v>
      </c>
    </row>
    <row r="331" spans="1:10">
      <c r="A331" t="s">
        <v>59</v>
      </c>
      <c r="B331" t="s">
        <v>316</v>
      </c>
      <c r="C331">
        <v>56196</v>
      </c>
      <c r="D331" t="s">
        <v>318</v>
      </c>
      <c r="E331">
        <v>2019</v>
      </c>
      <c r="F331" s="758">
        <v>548228.41799999995</v>
      </c>
      <c r="G331" s="754">
        <v>9147395.9489999991</v>
      </c>
      <c r="H331" t="s">
        <v>241</v>
      </c>
      <c r="I331" s="755">
        <f t="shared" si="9"/>
        <v>548228.41799999995</v>
      </c>
    </row>
    <row r="332" spans="1:10">
      <c r="A332" t="s">
        <v>59</v>
      </c>
      <c r="B332" t="s">
        <v>457</v>
      </c>
      <c r="C332">
        <v>56234</v>
      </c>
      <c r="D332">
        <v>1</v>
      </c>
      <c r="E332">
        <v>2019</v>
      </c>
      <c r="F332" s="758">
        <v>897528.13</v>
      </c>
      <c r="G332" s="754">
        <v>15102023.155999999</v>
      </c>
      <c r="H332" t="s">
        <v>241</v>
      </c>
      <c r="I332" s="755">
        <f t="shared" si="9"/>
        <v>897528.13</v>
      </c>
      <c r="J332" s="32"/>
    </row>
    <row r="333" spans="1:10">
      <c r="A333" t="s">
        <v>59</v>
      </c>
      <c r="B333" t="s">
        <v>2447</v>
      </c>
      <c r="C333">
        <v>56259</v>
      </c>
      <c r="D333" t="s">
        <v>1146</v>
      </c>
      <c r="E333">
        <v>2019</v>
      </c>
      <c r="F333" s="21">
        <v>541989.40700000001</v>
      </c>
      <c r="G333" s="754">
        <v>9114781.466</v>
      </c>
      <c r="H333" t="s">
        <v>241</v>
      </c>
      <c r="I333" s="755"/>
      <c r="J333" s="32" t="s">
        <v>1763</v>
      </c>
    </row>
    <row r="334" spans="1:10">
      <c r="A334" t="s">
        <v>59</v>
      </c>
      <c r="B334" t="s">
        <v>2447</v>
      </c>
      <c r="C334">
        <v>56259</v>
      </c>
      <c r="D334" t="s">
        <v>1147</v>
      </c>
      <c r="E334">
        <v>2019</v>
      </c>
      <c r="F334" s="21">
        <v>534945.63199999998</v>
      </c>
      <c r="G334" s="754">
        <v>8996661.5950000007</v>
      </c>
      <c r="H334" t="s">
        <v>241</v>
      </c>
      <c r="I334" s="755"/>
      <c r="J334" s="32" t="s">
        <v>1763</v>
      </c>
    </row>
    <row r="335" spans="1:10">
      <c r="A335" t="s">
        <v>59</v>
      </c>
      <c r="B335" t="s">
        <v>2448</v>
      </c>
      <c r="C335">
        <v>56940</v>
      </c>
      <c r="D335">
        <v>1</v>
      </c>
      <c r="E335">
        <v>2019</v>
      </c>
      <c r="F335" s="758">
        <v>839611.62199999997</v>
      </c>
      <c r="G335" s="754">
        <v>14116337.241</v>
      </c>
      <c r="H335" t="s">
        <v>241</v>
      </c>
      <c r="I335" s="755">
        <f t="shared" si="9"/>
        <v>839611.62199999997</v>
      </c>
      <c r="J335" s="32"/>
    </row>
    <row r="336" spans="1:10">
      <c r="A336" t="s">
        <v>59</v>
      </c>
      <c r="B336" t="s">
        <v>2448</v>
      </c>
      <c r="C336">
        <v>56940</v>
      </c>
      <c r="D336">
        <v>2</v>
      </c>
      <c r="E336">
        <v>2019</v>
      </c>
      <c r="F336" s="758">
        <v>845915.85699999996</v>
      </c>
      <c r="G336" s="754">
        <v>14222721.029999999</v>
      </c>
      <c r="H336" t="s">
        <v>241</v>
      </c>
      <c r="I336" s="755">
        <f t="shared" si="9"/>
        <v>845915.85699999996</v>
      </c>
    </row>
    <row r="337" spans="1:10">
      <c r="A337" t="s">
        <v>136</v>
      </c>
      <c r="B337" t="s">
        <v>2449</v>
      </c>
      <c r="C337">
        <v>3236</v>
      </c>
      <c r="D337">
        <v>10</v>
      </c>
      <c r="E337">
        <v>2019</v>
      </c>
      <c r="F337" s="758">
        <v>263378.57500000001</v>
      </c>
      <c r="G337" s="754">
        <v>4440457.2</v>
      </c>
      <c r="H337" t="s">
        <v>241</v>
      </c>
      <c r="I337" s="756">
        <f>F337</f>
        <v>263378.57500000001</v>
      </c>
      <c r="J337" s="32"/>
    </row>
    <row r="338" spans="1:10">
      <c r="A338" t="s">
        <v>136</v>
      </c>
      <c r="B338" t="s">
        <v>2449</v>
      </c>
      <c r="C338">
        <v>3236</v>
      </c>
      <c r="D338">
        <v>11</v>
      </c>
      <c r="E338">
        <v>2019</v>
      </c>
      <c r="F338" s="758">
        <v>219386.75</v>
      </c>
      <c r="G338" s="754">
        <v>3699755.9</v>
      </c>
      <c r="H338" t="s">
        <v>241</v>
      </c>
      <c r="I338" s="756">
        <f>F338</f>
        <v>219386.75</v>
      </c>
      <c r="J338" s="32"/>
    </row>
    <row r="339" spans="1:10">
      <c r="A339" t="s">
        <v>136</v>
      </c>
      <c r="B339" t="s">
        <v>2449</v>
      </c>
      <c r="C339">
        <v>3236</v>
      </c>
      <c r="D339">
        <v>9</v>
      </c>
      <c r="E339">
        <v>2019</v>
      </c>
      <c r="F339" s="758">
        <v>267653.42499999999</v>
      </c>
      <c r="G339" s="754">
        <v>4511740.9749999996</v>
      </c>
      <c r="H339" t="s">
        <v>241</v>
      </c>
      <c r="I339" s="756">
        <f>F339</f>
        <v>267653.42499999999</v>
      </c>
      <c r="J339" s="32"/>
    </row>
    <row r="340" spans="1:10">
      <c r="A340" t="s">
        <v>136</v>
      </c>
      <c r="B340" t="s">
        <v>139</v>
      </c>
      <c r="C340">
        <v>51030</v>
      </c>
      <c r="D340">
        <v>1</v>
      </c>
      <c r="E340">
        <v>2019</v>
      </c>
      <c r="F340" s="758">
        <v>157473.49799999999</v>
      </c>
      <c r="G340" s="754">
        <v>2645813.236</v>
      </c>
      <c r="H340" t="s">
        <v>241</v>
      </c>
      <c r="I340" s="756">
        <f t="shared" ref="I340:I351" si="10">F340</f>
        <v>157473.49799999999</v>
      </c>
    </row>
    <row r="341" spans="1:10">
      <c r="A341" t="s">
        <v>136</v>
      </c>
      <c r="B341" t="s">
        <v>139</v>
      </c>
      <c r="C341">
        <v>51030</v>
      </c>
      <c r="D341">
        <v>2</v>
      </c>
      <c r="E341">
        <v>2019</v>
      </c>
      <c r="F341" s="758">
        <v>162564.492</v>
      </c>
      <c r="G341" s="754">
        <v>2729477.6290000002</v>
      </c>
      <c r="H341" t="s">
        <v>241</v>
      </c>
      <c r="I341" s="756">
        <f t="shared" si="10"/>
        <v>162564.492</v>
      </c>
    </row>
    <row r="342" spans="1:10">
      <c r="A342" t="s">
        <v>136</v>
      </c>
      <c r="B342" t="s">
        <v>24</v>
      </c>
      <c r="C342">
        <v>54324</v>
      </c>
      <c r="D342">
        <v>3</v>
      </c>
      <c r="E342">
        <v>2019</v>
      </c>
      <c r="F342" s="758">
        <v>149624.921</v>
      </c>
      <c r="G342" s="754">
        <v>2515446.62</v>
      </c>
      <c r="H342" t="s">
        <v>241</v>
      </c>
      <c r="I342" s="756">
        <f t="shared" si="10"/>
        <v>149624.921</v>
      </c>
    </row>
    <row r="343" spans="1:10">
      <c r="A343" t="s">
        <v>136</v>
      </c>
      <c r="B343" t="s">
        <v>24</v>
      </c>
      <c r="C343">
        <v>54324</v>
      </c>
      <c r="D343">
        <v>4</v>
      </c>
      <c r="E343">
        <v>2019</v>
      </c>
      <c r="F343" s="758">
        <v>153561.715</v>
      </c>
      <c r="G343" s="754">
        <v>2580947.2889999999</v>
      </c>
      <c r="H343" t="s">
        <v>241</v>
      </c>
      <c r="I343" s="756">
        <f t="shared" si="10"/>
        <v>153561.715</v>
      </c>
    </row>
    <row r="344" spans="1:10">
      <c r="A344" t="s">
        <v>136</v>
      </c>
      <c r="B344" t="s">
        <v>330</v>
      </c>
      <c r="C344">
        <v>54056</v>
      </c>
      <c r="D344">
        <v>1</v>
      </c>
      <c r="E344">
        <v>2019</v>
      </c>
      <c r="F344" s="758">
        <v>2628.6010000000001</v>
      </c>
      <c r="G344" s="754">
        <v>43962.175999999999</v>
      </c>
      <c r="H344" t="s">
        <v>241</v>
      </c>
      <c r="I344" s="756">
        <f t="shared" si="10"/>
        <v>2628.6010000000001</v>
      </c>
    </row>
    <row r="345" spans="1:10">
      <c r="A345" t="s">
        <v>136</v>
      </c>
      <c r="B345" t="s">
        <v>1912</v>
      </c>
      <c r="C345">
        <v>55107</v>
      </c>
      <c r="D345" t="s">
        <v>331</v>
      </c>
      <c r="E345">
        <v>2019</v>
      </c>
      <c r="F345" s="758">
        <v>651043.35199999996</v>
      </c>
      <c r="G345" s="754">
        <v>10955065.214</v>
      </c>
      <c r="H345" t="s">
        <v>241</v>
      </c>
      <c r="I345" s="756">
        <f t="shared" si="10"/>
        <v>651043.35199999996</v>
      </c>
    </row>
    <row r="346" spans="1:10">
      <c r="A346" t="s">
        <v>136</v>
      </c>
      <c r="B346" t="s">
        <v>1912</v>
      </c>
      <c r="C346">
        <v>55107</v>
      </c>
      <c r="D346" t="s">
        <v>332</v>
      </c>
      <c r="E346">
        <v>2019</v>
      </c>
      <c r="F346" s="758">
        <v>635497.19200000004</v>
      </c>
      <c r="G346" s="754">
        <v>10693512.483999999</v>
      </c>
      <c r="H346" t="s">
        <v>241</v>
      </c>
      <c r="I346" s="756">
        <f t="shared" si="10"/>
        <v>635497.19200000004</v>
      </c>
    </row>
    <row r="347" spans="1:10">
      <c r="A347" t="s">
        <v>136</v>
      </c>
      <c r="B347" t="s">
        <v>1234</v>
      </c>
      <c r="C347">
        <v>55048</v>
      </c>
      <c r="D347">
        <v>1</v>
      </c>
      <c r="E347">
        <v>2019</v>
      </c>
      <c r="F347" s="758">
        <v>488676.07799999998</v>
      </c>
      <c r="G347" s="754">
        <v>8222905.8810000001</v>
      </c>
      <c r="H347" t="s">
        <v>241</v>
      </c>
      <c r="I347" s="756">
        <f t="shared" si="10"/>
        <v>488676.07799999998</v>
      </c>
    </row>
    <row r="348" spans="1:10">
      <c r="A348" t="s">
        <v>91</v>
      </c>
      <c r="B348" t="s">
        <v>580</v>
      </c>
      <c r="C348">
        <v>3734</v>
      </c>
      <c r="D348" t="s">
        <v>292</v>
      </c>
      <c r="E348">
        <v>2019</v>
      </c>
      <c r="F348" s="758">
        <v>232.9</v>
      </c>
      <c r="G348" s="754">
        <v>2874</v>
      </c>
      <c r="H348" t="s">
        <v>238</v>
      </c>
      <c r="I348" s="756">
        <f t="shared" si="10"/>
        <v>232.9</v>
      </c>
    </row>
    <row r="349" spans="1:10">
      <c r="A349" t="s">
        <v>91</v>
      </c>
      <c r="B349" t="s">
        <v>580</v>
      </c>
      <c r="C349">
        <v>3734</v>
      </c>
      <c r="D349" t="s">
        <v>293</v>
      </c>
      <c r="E349">
        <v>2019</v>
      </c>
      <c r="F349" s="758">
        <v>177.2</v>
      </c>
      <c r="G349" s="754">
        <v>2189.9</v>
      </c>
      <c r="H349" t="s">
        <v>238</v>
      </c>
      <c r="I349" s="756">
        <f t="shared" si="10"/>
        <v>177.2</v>
      </c>
    </row>
    <row r="350" spans="1:10">
      <c r="A350" t="s">
        <v>91</v>
      </c>
      <c r="B350" t="s">
        <v>2246</v>
      </c>
      <c r="C350">
        <v>3754</v>
      </c>
      <c r="D350" t="s">
        <v>279</v>
      </c>
      <c r="E350">
        <v>2019</v>
      </c>
      <c r="F350" s="758">
        <v>60.3</v>
      </c>
      <c r="G350" s="754">
        <v>745.9</v>
      </c>
      <c r="H350" t="s">
        <v>238</v>
      </c>
      <c r="I350" s="756">
        <f t="shared" si="10"/>
        <v>60.3</v>
      </c>
    </row>
    <row r="351" spans="1:10">
      <c r="A351" t="s">
        <v>91</v>
      </c>
      <c r="B351" t="s">
        <v>2246</v>
      </c>
      <c r="C351">
        <v>3754</v>
      </c>
      <c r="D351" t="s">
        <v>280</v>
      </c>
      <c r="E351">
        <v>2019</v>
      </c>
      <c r="F351" s="758">
        <v>75.099999999999994</v>
      </c>
      <c r="G351" s="754">
        <v>928</v>
      </c>
      <c r="H351" t="s">
        <v>238</v>
      </c>
      <c r="I351" s="756">
        <f t="shared" si="10"/>
        <v>75.099999999999994</v>
      </c>
    </row>
    <row r="352" spans="1:10">
      <c r="F352" s="21"/>
      <c r="G352" s="754"/>
      <c r="I352" s="755"/>
    </row>
    <row r="353" spans="1:11">
      <c r="F353" s="21"/>
      <c r="G353" s="754"/>
      <c r="I353" s="755"/>
    </row>
    <row r="354" spans="1:11">
      <c r="F354" s="21">
        <f>SUBTOTAL(9,F2:F351)</f>
        <v>45797907.351000011</v>
      </c>
      <c r="G354" s="21">
        <f>SUBTOTAL(9,G2:G351)</f>
        <v>754135721.00900042</v>
      </c>
      <c r="I354" s="755"/>
    </row>
    <row r="355" spans="1:11">
      <c r="F355" s="21"/>
      <c r="I355" s="755"/>
      <c r="J355" s="228"/>
    </row>
    <row r="356" spans="1:11" ht="13">
      <c r="F356" s="26" t="s">
        <v>335</v>
      </c>
      <c r="H356" s="89" t="s">
        <v>43</v>
      </c>
      <c r="I356" s="756">
        <f>SUMIF(A$2:A$351,"=CT",I$2:I$351)</f>
        <v>7690282.0799999982</v>
      </c>
      <c r="J356" s="216"/>
    </row>
    <row r="357" spans="1:11" ht="13">
      <c r="F357" s="26"/>
      <c r="H357" s="89" t="s">
        <v>83</v>
      </c>
      <c r="I357" s="756">
        <f>SUMIF(A$2:A$351,"=MA",I$2:I$351)</f>
        <v>5661137.2410000004</v>
      </c>
      <c r="J357" s="216"/>
    </row>
    <row r="358" spans="1:11" ht="13">
      <c r="A358" s="89" t="s">
        <v>2931</v>
      </c>
      <c r="F358" s="27"/>
      <c r="H358" s="89" t="s">
        <v>92</v>
      </c>
      <c r="I358" s="756">
        <f>SUMIF(A$2:A$351,"=ME",I$2:I$351)</f>
        <v>555480.48399999994</v>
      </c>
      <c r="J358" s="216"/>
    </row>
    <row r="359" spans="1:11" ht="13">
      <c r="A359" s="16" t="s">
        <v>344</v>
      </c>
      <c r="B359" s="16"/>
      <c r="C359" s="152"/>
      <c r="D359" s="16"/>
      <c r="E359" s="16"/>
      <c r="G359" s="25"/>
      <c r="H359" s="89" t="s">
        <v>98</v>
      </c>
      <c r="I359" s="756">
        <f>SUMIF(A$2:A$351,"=NH",I$2:I$351)</f>
        <v>1885003.0379999997</v>
      </c>
      <c r="J359" s="216"/>
    </row>
    <row r="360" spans="1:11" ht="13">
      <c r="A360" s="16" t="s">
        <v>343</v>
      </c>
      <c r="B360" s="16"/>
      <c r="C360" s="16"/>
      <c r="D360" s="16"/>
      <c r="E360" s="16"/>
      <c r="G360" s="25"/>
      <c r="H360" s="168" t="s">
        <v>59</v>
      </c>
      <c r="I360" s="757">
        <f>SUMIF(A$2:A$351,"=NY",I$2:I$351)</f>
        <v>16371628.964999998</v>
      </c>
      <c r="J360" s="216"/>
      <c r="K360" s="153"/>
    </row>
    <row r="361" spans="1:11" ht="13">
      <c r="A361" s="32" t="s">
        <v>454</v>
      </c>
      <c r="B361" s="16"/>
      <c r="C361" s="16"/>
      <c r="D361" s="16"/>
      <c r="E361" s="16"/>
      <c r="G361" s="25"/>
      <c r="H361" s="89" t="s">
        <v>136</v>
      </c>
      <c r="I361" s="756">
        <f>SUMIF(A$2:A$351,"=RI",I$2:I$351)</f>
        <v>3151488.5990000004</v>
      </c>
      <c r="J361" s="216"/>
    </row>
    <row r="362" spans="1:11" ht="13">
      <c r="B362" s="747" t="s">
        <v>2957</v>
      </c>
      <c r="C362" s="16"/>
      <c r="D362" s="16"/>
      <c r="E362" s="16"/>
      <c r="G362" s="25"/>
      <c r="H362" s="89" t="s">
        <v>91</v>
      </c>
      <c r="I362" s="756">
        <f>SUMIF(A$2:A$351,"=VT",I$2:I$351)</f>
        <v>545.5</v>
      </c>
      <c r="J362" s="216"/>
    </row>
    <row r="363" spans="1:11" ht="13">
      <c r="B363" s="16"/>
      <c r="C363" s="16"/>
      <c r="D363" s="16"/>
      <c r="E363" s="16"/>
      <c r="G363" s="25"/>
      <c r="H363" s="149" t="s">
        <v>196</v>
      </c>
      <c r="I363" s="756">
        <f>SUM(I356:I362)</f>
        <v>35315565.906999998</v>
      </c>
      <c r="J363" s="216"/>
    </row>
    <row r="364" spans="1:11">
      <c r="A364" s="16"/>
      <c r="B364" s="152"/>
      <c r="C364" s="16"/>
      <c r="D364" s="16"/>
      <c r="E364" s="16"/>
      <c r="G364" s="25"/>
      <c r="I364" s="756"/>
    </row>
    <row r="365" spans="1:11">
      <c r="A365" s="16"/>
      <c r="B365" s="16"/>
      <c r="C365" s="16"/>
      <c r="D365" s="16"/>
      <c r="E365" s="16"/>
      <c r="G365" s="25"/>
    </row>
  </sheetData>
  <autoFilter ref="A1:J351">
    <sortState xmlns:xlrd2="http://schemas.microsoft.com/office/spreadsheetml/2017/richdata2" ref="A2:J55">
      <sortCondition ref="C1:C351"/>
    </sortState>
  </autoFilter>
  <phoneticPr fontId="7" type="noConversion"/>
  <hyperlinks>
    <hyperlink ref="B362" r:id="rId1"/>
  </hyperlinks>
  <pageMargins left="0" right="0" top="1" bottom="1" header="0.5" footer="0.5"/>
  <pageSetup scale="43" fitToHeight="0" orientation="portrait"/>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Q429"/>
  <sheetViews>
    <sheetView topLeftCell="A310" zoomScaleNormal="100" workbookViewId="0">
      <selection activeCell="D319" sqref="D319"/>
    </sheetView>
  </sheetViews>
  <sheetFormatPr defaultColWidth="8.81640625" defaultRowHeight="12.5"/>
  <cols>
    <col min="1" max="1" width="40.81640625" customWidth="1"/>
    <col min="2" max="2" width="21" customWidth="1"/>
    <col min="3" max="3" width="3.453125" customWidth="1"/>
    <col min="4" max="4" width="40.36328125" customWidth="1"/>
    <col min="5" max="5" width="12.36328125" customWidth="1"/>
    <col min="6" max="6" width="15" customWidth="1"/>
    <col min="7" max="7" width="3.36328125" customWidth="1"/>
    <col min="8" max="8" width="17.453125" customWidth="1"/>
    <col min="9" max="9" width="3.36328125" customWidth="1"/>
    <col min="10" max="10" width="12.36328125" customWidth="1"/>
    <col min="11" max="11" width="16.453125" customWidth="1"/>
    <col min="12" max="12" width="3.36328125" customWidth="1"/>
    <col min="13" max="13" width="12" customWidth="1"/>
    <col min="14" max="14" width="13.453125" customWidth="1"/>
    <col min="15" max="15" width="8.81640625" customWidth="1"/>
    <col min="16" max="16" width="26.453125" customWidth="1"/>
    <col min="17" max="17" width="26.81640625" customWidth="1"/>
  </cols>
  <sheetData>
    <row r="1" spans="1:14" ht="24" customHeight="1">
      <c r="A1" s="148" t="s">
        <v>2924</v>
      </c>
    </row>
    <row r="2" spans="1:14">
      <c r="A2" s="28" t="s">
        <v>2802</v>
      </c>
    </row>
    <row r="3" spans="1:14">
      <c r="A3" s="28" t="s">
        <v>3278</v>
      </c>
    </row>
    <row r="4" spans="1:14">
      <c r="A4" s="28" t="s">
        <v>2893</v>
      </c>
    </row>
    <row r="5" spans="1:14">
      <c r="A5" s="28"/>
    </row>
    <row r="6" spans="1:14">
      <c r="A6" s="28" t="s">
        <v>2793</v>
      </c>
    </row>
    <row r="7" spans="1:14">
      <c r="A7" s="28" t="s">
        <v>2853</v>
      </c>
    </row>
    <row r="8" spans="1:14">
      <c r="A8" s="28"/>
    </row>
    <row r="9" spans="1:14" ht="15.5">
      <c r="A9" s="321" t="s">
        <v>2892</v>
      </c>
    </row>
    <row r="10" spans="1:14">
      <c r="A10" s="28" t="s">
        <v>2917</v>
      </c>
    </row>
    <row r="11" spans="1:14">
      <c r="A11" s="28" t="s">
        <v>2918</v>
      </c>
    </row>
    <row r="12" spans="1:14">
      <c r="A12" s="28" t="s">
        <v>2919</v>
      </c>
    </row>
    <row r="14" spans="1:14" ht="13">
      <c r="A14" s="869" t="s">
        <v>1624</v>
      </c>
      <c r="B14" s="869"/>
      <c r="D14" s="862" t="s">
        <v>212</v>
      </c>
      <c r="E14" s="862"/>
      <c r="F14" s="862"/>
      <c r="G14" s="93"/>
      <c r="H14" s="862" t="s">
        <v>212</v>
      </c>
      <c r="I14" s="862"/>
      <c r="J14" s="862" t="s">
        <v>212</v>
      </c>
      <c r="K14" s="862"/>
      <c r="L14" s="93"/>
      <c r="M14" s="862" t="s">
        <v>212</v>
      </c>
      <c r="N14" s="862"/>
    </row>
    <row r="15" spans="1:14" ht="13">
      <c r="A15" s="869">
        <v>2019</v>
      </c>
      <c r="B15" s="869"/>
      <c r="D15" s="862" t="s">
        <v>213</v>
      </c>
      <c r="E15" s="862"/>
      <c r="F15" s="862"/>
      <c r="G15" s="106"/>
      <c r="H15" s="862" t="s">
        <v>214</v>
      </c>
      <c r="I15" s="862"/>
      <c r="J15" s="862" t="s">
        <v>215</v>
      </c>
      <c r="K15" s="862"/>
      <c r="L15" s="93"/>
      <c r="M15" s="862" t="s">
        <v>216</v>
      </c>
      <c r="N15" s="862"/>
    </row>
    <row r="16" spans="1:14" s="13" customFormat="1" ht="43.5" customHeight="1">
      <c r="A16" s="297"/>
      <c r="B16" s="298" t="s">
        <v>341</v>
      </c>
      <c r="D16" s="107" t="s">
        <v>217</v>
      </c>
      <c r="E16" s="107" t="s">
        <v>218</v>
      </c>
      <c r="F16" s="107" t="s">
        <v>2685</v>
      </c>
      <c r="G16" s="93"/>
      <c r="H16" s="92" t="s">
        <v>339</v>
      </c>
      <c r="I16" s="106"/>
      <c r="J16" s="90" t="s">
        <v>340</v>
      </c>
      <c r="K16" s="91" t="s">
        <v>341</v>
      </c>
      <c r="L16" s="106"/>
      <c r="M16" s="90" t="s">
        <v>342</v>
      </c>
      <c r="N16" s="91" t="s">
        <v>341</v>
      </c>
    </row>
    <row r="17" spans="1:14" s="13" customFormat="1" ht="15" customHeight="1">
      <c r="A17" s="299" t="s">
        <v>220</v>
      </c>
      <c r="B17" s="300">
        <f>SUM(B18:B22)</f>
        <v>-5303551.6914259782</v>
      </c>
      <c r="D17" s="90" t="s">
        <v>221</v>
      </c>
      <c r="E17" s="106"/>
      <c r="F17" s="90"/>
      <c r="G17" s="108"/>
      <c r="H17" s="106"/>
      <c r="I17" s="106"/>
      <c r="J17" s="106"/>
      <c r="K17" s="106"/>
      <c r="L17" s="106"/>
      <c r="M17" s="106"/>
      <c r="N17" s="106"/>
    </row>
    <row r="18" spans="1:14">
      <c r="A18" s="284" t="s">
        <v>1471</v>
      </c>
      <c r="B18" s="301">
        <f>H21</f>
        <v>-1255150.2934718416</v>
      </c>
      <c r="D18" s="109" t="s">
        <v>389</v>
      </c>
      <c r="E18" s="134" t="s">
        <v>48</v>
      </c>
      <c r="F18" s="135">
        <f>'GIS Heat Input'!H16</f>
        <v>-1887.1123509294575</v>
      </c>
      <c r="G18" s="93"/>
      <c r="H18" s="111">
        <f>F18*'GWPs &amp; Fuel EFs'!$N$7</f>
        <v>-304372.34957172227</v>
      </c>
      <c r="I18" s="93"/>
      <c r="J18" s="111">
        <f>F18*'GWPs &amp; Fuel EFs'!$M$35</f>
        <v>-12.48111172602138</v>
      </c>
      <c r="K18" s="111">
        <f>J18*'GWPs &amp; Fuel EFs'!$D$11</f>
        <v>-312.02779315053448</v>
      </c>
      <c r="L18" s="93"/>
      <c r="M18" s="111">
        <f>F18*'GWPs &amp; Fuel EFs'!$M$63</f>
        <v>-2.4962223452042758</v>
      </c>
      <c r="N18" s="111">
        <f>M18*'GWPs &amp; Fuel EFs'!$E$11</f>
        <v>-743.8742588708742</v>
      </c>
    </row>
    <row r="19" spans="1:14">
      <c r="A19" s="284" t="s">
        <v>222</v>
      </c>
      <c r="B19" s="301">
        <f>K21</f>
        <v>-759.91693664845707</v>
      </c>
      <c r="D19" s="109" t="s">
        <v>388</v>
      </c>
      <c r="E19" s="134" t="s">
        <v>41</v>
      </c>
      <c r="F19" s="135">
        <f>'GIS Heat Input'!H17</f>
        <v>-8126.3639306744035</v>
      </c>
      <c r="G19" s="93"/>
      <c r="H19" s="111">
        <f>F19*'GWPs &amp; Fuel EFs'!$N$8</f>
        <v>-950777.9439001194</v>
      </c>
      <c r="I19" s="93"/>
      <c r="J19" s="111">
        <f>F19*'GWPs &amp; Fuel EFs'!$M$36</f>
        <v>-17.9155657399169</v>
      </c>
      <c r="K19" s="111">
        <f>J19*'GWPs &amp; Fuel EFs'!$D$11</f>
        <v>-447.88914349792253</v>
      </c>
      <c r="L19" s="93"/>
      <c r="M19" s="111">
        <f>F19*'GWPs &amp; Fuel EFs'!$M$64</f>
        <v>-1.7915565739916901</v>
      </c>
      <c r="N19" s="111">
        <f>M19*'GWPs &amp; Fuel EFs'!$E$11</f>
        <v>-533.88385904952361</v>
      </c>
    </row>
    <row r="20" spans="1:14">
      <c r="A20" s="284" t="s">
        <v>223</v>
      </c>
      <c r="B20" s="301">
        <f>N21</f>
        <v>-1277.7581179203978</v>
      </c>
      <c r="D20" s="109" t="s">
        <v>402</v>
      </c>
      <c r="E20" s="134" t="s">
        <v>19</v>
      </c>
      <c r="F20" s="135">
        <f>'GIS Heat Input'!H18</f>
        <v>0</v>
      </c>
      <c r="G20" s="93"/>
      <c r="H20" s="111">
        <f>F20*'GWPs &amp; Fuel EFs'!$N$9</f>
        <v>0</v>
      </c>
      <c r="I20" s="93"/>
      <c r="J20" s="111">
        <f>F20*'GWPs &amp; Fuel EFs'!$M$37</f>
        <v>0</v>
      </c>
      <c r="K20" s="111">
        <f>J20*'GWPs &amp; Fuel EFs'!$D$11</f>
        <v>0</v>
      </c>
      <c r="L20" s="93"/>
      <c r="M20" s="111">
        <f>F20*'GWPs &amp; Fuel EFs'!$M$65</f>
        <v>0</v>
      </c>
      <c r="N20" s="111">
        <f>M20*'GWPs &amp; Fuel EFs'!$E$11</f>
        <v>0</v>
      </c>
    </row>
    <row r="21" spans="1:14">
      <c r="A21" s="284" t="s">
        <v>224</v>
      </c>
      <c r="B21" s="301">
        <f>K29</f>
        <v>-428288.65310105169</v>
      </c>
      <c r="D21" s="109"/>
      <c r="E21" s="93"/>
      <c r="F21" s="108"/>
      <c r="G21" s="93"/>
      <c r="H21" s="114">
        <f>SUM(H18:H20)</f>
        <v>-1255150.2934718416</v>
      </c>
      <c r="I21" s="93"/>
      <c r="J21" s="111"/>
      <c r="K21" s="114">
        <f>SUM(K18:K20)</f>
        <v>-759.91693664845707</v>
      </c>
      <c r="L21" s="93"/>
      <c r="M21" s="111"/>
      <c r="N21" s="114">
        <f>SUM(N18:N20)</f>
        <v>-1277.7581179203978</v>
      </c>
    </row>
    <row r="22" spans="1:14">
      <c r="A22" s="284" t="s">
        <v>225</v>
      </c>
      <c r="B22" s="301">
        <f>N29</f>
        <v>-3618075.0697985156</v>
      </c>
    </row>
    <row r="23" spans="1:14" ht="12" customHeight="1">
      <c r="A23" s="284"/>
      <c r="B23" s="284"/>
    </row>
    <row r="24" spans="1:14" ht="12.75" customHeight="1">
      <c r="A24" s="302" t="s">
        <v>226</v>
      </c>
      <c r="B24" s="300">
        <f>H29</f>
        <v>-184921216.95473528</v>
      </c>
      <c r="D24" s="90" t="s">
        <v>227</v>
      </c>
      <c r="E24" s="93"/>
      <c r="F24" s="93"/>
      <c r="G24" s="93"/>
      <c r="H24" s="114"/>
      <c r="I24" s="93"/>
      <c r="J24" s="111"/>
      <c r="K24" s="114"/>
      <c r="L24" s="93"/>
      <c r="M24" s="111"/>
      <c r="N24" s="114"/>
    </row>
    <row r="25" spans="1:14" ht="12.75" customHeight="1">
      <c r="A25" s="284"/>
      <c r="B25" s="284"/>
      <c r="D25" s="112" t="s">
        <v>396</v>
      </c>
      <c r="E25" s="134" t="s">
        <v>65</v>
      </c>
      <c r="F25" s="135">
        <f>'GIS Heat Input'!H20</f>
        <v>1604452.2204795796</v>
      </c>
      <c r="G25" s="93"/>
      <c r="H25" s="111">
        <f>F25*'GWPs &amp; Fuel EFs'!$N$20</f>
        <v>184182611.03094092</v>
      </c>
      <c r="I25" s="93"/>
      <c r="J25" s="111">
        <f>F25*'GWPs &amp; Fuel EFs'!$M$48</f>
        <v>11319.077305531227</v>
      </c>
      <c r="K25" s="111">
        <f>J25*'GWPs &amp; Fuel EFs'!$D$11</f>
        <v>282976.93263828068</v>
      </c>
      <c r="L25" s="93"/>
      <c r="M25" s="111">
        <f>F25*'GWPs &amp; Fuel EFs'!$M$76</f>
        <v>2228.4433445264604</v>
      </c>
      <c r="N25" s="111">
        <f>M25*'GWPs &amp; Fuel EFs'!$E$11</f>
        <v>664076.11666888522</v>
      </c>
    </row>
    <row r="26" spans="1:14" ht="12" customHeight="1">
      <c r="A26" s="284"/>
      <c r="B26" s="303"/>
      <c r="D26" s="112" t="s">
        <v>399</v>
      </c>
      <c r="E26" s="134" t="s">
        <v>18</v>
      </c>
      <c r="F26" s="135">
        <f>'GIS Heat Input'!H21</f>
        <v>0</v>
      </c>
      <c r="G26" s="93"/>
      <c r="H26" s="111">
        <f>F26*'GWPs &amp; Fuel EFs'!$N$21</f>
        <v>0</v>
      </c>
      <c r="I26" s="93"/>
      <c r="J26" s="111">
        <f>F26*'GWPs &amp; Fuel EFs'!$M$49</f>
        <v>0</v>
      </c>
      <c r="K26" s="111">
        <f>J26*'GWPs &amp; Fuel EFs'!$D$11</f>
        <v>0</v>
      </c>
      <c r="L26" s="93"/>
      <c r="M26" s="111">
        <f>F26*'GWPs &amp; Fuel EFs'!$M$77</f>
        <v>0</v>
      </c>
      <c r="N26" s="111">
        <f>M26*'GWPs &amp; Fuel EFs'!$E$11</f>
        <v>0</v>
      </c>
    </row>
    <row r="27" spans="1:14">
      <c r="A27" s="284"/>
      <c r="B27" s="284"/>
      <c r="D27" s="112" t="s">
        <v>404</v>
      </c>
      <c r="E27" s="134" t="s">
        <v>71</v>
      </c>
      <c r="F27" s="135">
        <f>'GIS Heat Input'!H22</f>
        <v>-1822354.0303416583</v>
      </c>
      <c r="G27" s="93"/>
      <c r="H27" s="111">
        <f>F27*'GWPs &amp; Fuel EFs'!$N$23</f>
        <v>-376851153.60891438</v>
      </c>
      <c r="I27" s="93"/>
      <c r="J27" s="111">
        <f>F27*'GWPs &amp; Fuel EFs'!$M$51</f>
        <v>-28926.741001963579</v>
      </c>
      <c r="K27" s="111">
        <f>J27*'GWPs &amp; Fuel EFs'!$D$11</f>
        <v>-723168.52504908945</v>
      </c>
      <c r="L27" s="93"/>
      <c r="M27" s="111">
        <f>F27*'GWPs &amp; Fuel EFs'!$M$79</f>
        <v>-14463.37050098179</v>
      </c>
      <c r="N27" s="111">
        <f>M27*'GWPs &amp; Fuel EFs'!$E$11</f>
        <v>-4310084.4092925731</v>
      </c>
    </row>
    <row r="28" spans="1:14" s="16" customFormat="1">
      <c r="A28" s="284"/>
      <c r="B28" s="284"/>
      <c r="D28" s="120" t="s">
        <v>2425</v>
      </c>
      <c r="E28" s="134" t="s">
        <v>70</v>
      </c>
      <c r="F28" s="135">
        <f>'GIS Heat Input'!H23</f>
        <v>67488.530700081421</v>
      </c>
      <c r="G28" s="93"/>
      <c r="H28" s="111">
        <f>F28*'GWPs &amp; Fuel EFs'!$N$27</f>
        <v>7747325.6232381621</v>
      </c>
      <c r="I28" s="93"/>
      <c r="J28" s="111">
        <f>F28*'GWPs &amp; Fuel EFs'!$M$55</f>
        <v>476.11757239028458</v>
      </c>
      <c r="K28" s="111">
        <f>J28*'GWPs &amp; Fuel EFs'!$D$11</f>
        <v>11902.939309757114</v>
      </c>
      <c r="L28" s="93"/>
      <c r="M28" s="111">
        <f>F28*'GWPs &amp; Fuel EFs'!$M$83</f>
        <v>93.735647064337272</v>
      </c>
      <c r="N28" s="111">
        <f>M28*'GWPs &amp; Fuel EFs'!$E$11</f>
        <v>27933.222825172506</v>
      </c>
    </row>
    <row r="29" spans="1:14">
      <c r="A29" s="304"/>
      <c r="B29" s="305"/>
      <c r="D29" s="93"/>
      <c r="E29" s="93"/>
      <c r="F29" s="108"/>
      <c r="G29" s="93"/>
      <c r="H29" s="115">
        <f>SUM(H25:H28)</f>
        <v>-184921216.95473528</v>
      </c>
      <c r="I29" s="93"/>
      <c r="J29" s="93"/>
      <c r="K29" s="114">
        <f>SUM(K25:K28)</f>
        <v>-428288.65310105169</v>
      </c>
      <c r="L29" s="93"/>
      <c r="M29" s="93"/>
      <c r="N29" s="114">
        <f>SUM(N25:N28)</f>
        <v>-3618075.0697985156</v>
      </c>
    </row>
    <row r="30" spans="1:14">
      <c r="A30" s="304"/>
      <c r="B30" s="305"/>
    </row>
    <row r="31" spans="1:14">
      <c r="A31" s="17"/>
      <c r="B31" s="17"/>
      <c r="D31" s="116"/>
      <c r="E31" s="116"/>
      <c r="F31" s="116"/>
      <c r="G31" s="93"/>
      <c r="H31" s="116"/>
      <c r="I31" s="93"/>
      <c r="J31" s="116"/>
      <c r="K31" s="116"/>
      <c r="L31" s="93"/>
      <c r="M31" s="116"/>
      <c r="N31" s="116"/>
    </row>
    <row r="32" spans="1:14" ht="13">
      <c r="A32" s="869" t="s">
        <v>1625</v>
      </c>
      <c r="B32" s="869"/>
      <c r="D32" s="862" t="s">
        <v>232</v>
      </c>
      <c r="E32" s="862"/>
      <c r="F32" s="862"/>
      <c r="G32" s="93"/>
      <c r="H32" s="105" t="s">
        <v>232</v>
      </c>
      <c r="I32" s="93"/>
      <c r="J32" s="862" t="s">
        <v>232</v>
      </c>
      <c r="K32" s="862"/>
      <c r="L32" s="93"/>
      <c r="M32" s="862" t="s">
        <v>232</v>
      </c>
      <c r="N32" s="862"/>
    </row>
    <row r="33" spans="1:14" ht="13">
      <c r="A33" s="869">
        <f>A15</f>
        <v>2019</v>
      </c>
      <c r="B33" s="869"/>
      <c r="C33" s="18"/>
      <c r="D33" s="862" t="s">
        <v>213</v>
      </c>
      <c r="E33" s="862"/>
      <c r="F33" s="862"/>
      <c r="G33" s="93"/>
      <c r="H33" s="105" t="s">
        <v>214</v>
      </c>
      <c r="I33" s="93"/>
      <c r="J33" s="862" t="s">
        <v>215</v>
      </c>
      <c r="K33" s="862"/>
      <c r="L33" s="93"/>
      <c r="M33" s="862" t="s">
        <v>216</v>
      </c>
      <c r="N33" s="862"/>
    </row>
    <row r="34" spans="1:14" s="13" customFormat="1" ht="45" customHeight="1">
      <c r="A34" s="297"/>
      <c r="B34" s="298" t="s">
        <v>341</v>
      </c>
      <c r="D34" s="107" t="s">
        <v>217</v>
      </c>
      <c r="E34" s="107" t="s">
        <v>218</v>
      </c>
      <c r="F34" s="107" t="str">
        <f>F16</f>
        <v>Heat Input from GIS certificates (MMBtu)</v>
      </c>
      <c r="G34" s="93"/>
      <c r="H34" s="92" t="s">
        <v>339</v>
      </c>
      <c r="I34" s="106"/>
      <c r="J34" s="90" t="s">
        <v>340</v>
      </c>
      <c r="K34" s="91" t="s">
        <v>341</v>
      </c>
      <c r="L34" s="106"/>
      <c r="M34" s="90" t="s">
        <v>342</v>
      </c>
      <c r="N34" s="91" t="s">
        <v>341</v>
      </c>
    </row>
    <row r="35" spans="1:14" ht="12.75" customHeight="1">
      <c r="A35" s="299" t="s">
        <v>220</v>
      </c>
      <c r="B35" s="300">
        <f>SUM(B36:B40)</f>
        <v>54532464.714832984</v>
      </c>
      <c r="C35" s="18"/>
      <c r="D35" s="90" t="s">
        <v>221</v>
      </c>
      <c r="E35" s="90"/>
      <c r="F35" s="90"/>
      <c r="G35" s="93"/>
      <c r="H35" s="93"/>
      <c r="I35" s="93"/>
      <c r="J35" s="106"/>
      <c r="K35" s="106"/>
      <c r="L35" s="93"/>
      <c r="M35" s="106"/>
      <c r="N35" s="106"/>
    </row>
    <row r="36" spans="1:14">
      <c r="A36" s="284" t="s">
        <v>1471</v>
      </c>
      <c r="B36" s="301">
        <f>H39</f>
        <v>0</v>
      </c>
      <c r="C36" s="18"/>
      <c r="D36" s="109" t="s">
        <v>389</v>
      </c>
      <c r="E36" s="134" t="s">
        <v>48</v>
      </c>
      <c r="F36" s="135">
        <f>'GIS Heat Input'!H28</f>
        <v>0</v>
      </c>
      <c r="G36" s="93"/>
      <c r="H36" s="111">
        <f>F36*'GWPs &amp; Fuel EFs'!$N$7</f>
        <v>0</v>
      </c>
      <c r="I36" s="93"/>
      <c r="J36" s="111">
        <f>F36*'GWPs &amp; Fuel EFs'!$M$35</f>
        <v>0</v>
      </c>
      <c r="K36" s="111">
        <f>J36*'GWPs &amp; Fuel EFs'!$D$11</f>
        <v>0</v>
      </c>
      <c r="L36" s="93"/>
      <c r="M36" s="111">
        <f>F36*'GWPs &amp; Fuel EFs'!$M$63</f>
        <v>0</v>
      </c>
      <c r="N36" s="111">
        <f>M36*'GWPs &amp; Fuel EFs'!$E$11</f>
        <v>0</v>
      </c>
    </row>
    <row r="37" spans="1:14">
      <c r="A37" s="284" t="s">
        <v>222</v>
      </c>
      <c r="B37" s="301">
        <f>K39</f>
        <v>0</v>
      </c>
      <c r="C37" s="18"/>
      <c r="D37" s="109" t="s">
        <v>388</v>
      </c>
      <c r="E37" s="134" t="s">
        <v>41</v>
      </c>
      <c r="F37" s="135">
        <f>'GIS Heat Input'!H29</f>
        <v>0</v>
      </c>
      <c r="G37" s="93"/>
      <c r="H37" s="111">
        <f>F37*'GWPs &amp; Fuel EFs'!$N$8</f>
        <v>0</v>
      </c>
      <c r="I37" s="93"/>
      <c r="J37" s="111">
        <f>F37*'GWPs &amp; Fuel EFs'!$M$36</f>
        <v>0</v>
      </c>
      <c r="K37" s="111">
        <f>J37*'GWPs &amp; Fuel EFs'!$D$11</f>
        <v>0</v>
      </c>
      <c r="L37" s="93"/>
      <c r="M37" s="111">
        <f>F37*'GWPs &amp; Fuel EFs'!$M$64</f>
        <v>0</v>
      </c>
      <c r="N37" s="111">
        <f>M37*'GWPs &amp; Fuel EFs'!$E$11</f>
        <v>0</v>
      </c>
    </row>
    <row r="38" spans="1:14">
      <c r="A38" s="284" t="s">
        <v>223</v>
      </c>
      <c r="B38" s="301">
        <f>N39</f>
        <v>0</v>
      </c>
      <c r="C38" s="18"/>
      <c r="D38" s="109" t="s">
        <v>402</v>
      </c>
      <c r="E38" s="134" t="s">
        <v>19</v>
      </c>
      <c r="F38" s="135">
        <f>'GIS Heat Input'!H30</f>
        <v>0</v>
      </c>
      <c r="G38" s="93"/>
      <c r="H38" s="111">
        <f>F38*'GWPs &amp; Fuel EFs'!$N$9</f>
        <v>0</v>
      </c>
      <c r="I38" s="93"/>
      <c r="J38" s="111">
        <f>F38*'GWPs &amp; Fuel EFs'!$M$37</f>
        <v>0</v>
      </c>
      <c r="K38" s="111">
        <f>J38*'GWPs &amp; Fuel EFs'!$D$11</f>
        <v>0</v>
      </c>
      <c r="L38" s="93"/>
      <c r="M38" s="111">
        <f>F38*'GWPs &amp; Fuel EFs'!$M$65</f>
        <v>0</v>
      </c>
      <c r="N38" s="111">
        <f>M38*'GWPs &amp; Fuel EFs'!$E$11</f>
        <v>0</v>
      </c>
    </row>
    <row r="39" spans="1:14">
      <c r="A39" s="284" t="s">
        <v>224</v>
      </c>
      <c r="B39" s="301">
        <f>K47</f>
        <v>8249980.6620115582</v>
      </c>
      <c r="C39" s="18"/>
      <c r="D39" s="109"/>
      <c r="E39" s="93"/>
      <c r="F39" s="108"/>
      <c r="G39" s="93"/>
      <c r="H39" s="114">
        <f>SUM(H36:H38)</f>
        <v>0</v>
      </c>
      <c r="I39" s="93"/>
      <c r="J39" s="111"/>
      <c r="K39" s="114">
        <f>SUM(K36:K38)</f>
        <v>0</v>
      </c>
      <c r="L39" s="93"/>
      <c r="M39" s="111"/>
      <c r="N39" s="114">
        <f>SUM(N36:N38)</f>
        <v>0</v>
      </c>
    </row>
    <row r="40" spans="1:14">
      <c r="A40" s="284" t="s">
        <v>225</v>
      </c>
      <c r="B40" s="301">
        <f>N47</f>
        <v>46282484.052821428</v>
      </c>
      <c r="C40" s="18"/>
    </row>
    <row r="41" spans="1:14">
      <c r="A41" s="284"/>
      <c r="B41" s="284"/>
      <c r="C41" s="18"/>
    </row>
    <row r="42" spans="1:14" ht="13">
      <c r="A42" s="302" t="s">
        <v>226</v>
      </c>
      <c r="B42" s="300">
        <f>H47</f>
        <v>4402852802.7170982</v>
      </c>
      <c r="C42" s="18"/>
      <c r="D42" s="90" t="s">
        <v>227</v>
      </c>
      <c r="E42" s="93"/>
      <c r="F42" s="108"/>
      <c r="G42" s="93"/>
      <c r="H42" s="114"/>
      <c r="I42" s="93"/>
      <c r="J42" s="111"/>
      <c r="K42" s="114"/>
      <c r="L42" s="93"/>
      <c r="M42" s="111"/>
      <c r="N42" s="114"/>
    </row>
    <row r="43" spans="1:14">
      <c r="A43" s="284"/>
      <c r="B43" s="284"/>
      <c r="C43" s="18"/>
      <c r="D43" s="112" t="s">
        <v>396</v>
      </c>
      <c r="E43" s="134" t="s">
        <v>65</v>
      </c>
      <c r="F43" s="135">
        <f>'GIS Heat Input'!H32</f>
        <v>4478319.5908000842</v>
      </c>
      <c r="G43" s="93"/>
      <c r="H43" s="111">
        <f>F43*'GWPs &amp; Fuel EFs'!$N$20</f>
        <v>514087353.13914716</v>
      </c>
      <c r="I43" s="93"/>
      <c r="J43" s="111">
        <f>F43*'GWPs &amp; Fuel EFs'!$M$48</f>
        <v>31593.614942294429</v>
      </c>
      <c r="K43" s="111">
        <f>J43*'GWPs &amp; Fuel EFs'!$D$11</f>
        <v>789840.37355736073</v>
      </c>
      <c r="L43" s="93"/>
      <c r="M43" s="111">
        <f>F43*'GWPs &amp; Fuel EFs'!$M$76</f>
        <v>6219.9929417642152</v>
      </c>
      <c r="N43" s="111">
        <f>M43*'GWPs &amp; Fuel EFs'!$E$11</f>
        <v>1853557.8966457362</v>
      </c>
    </row>
    <row r="44" spans="1:14">
      <c r="A44" s="284"/>
      <c r="B44" s="303"/>
      <c r="C44" s="18"/>
      <c r="D44" s="112" t="s">
        <v>399</v>
      </c>
      <c r="E44" s="134" t="s">
        <v>18</v>
      </c>
      <c r="F44" s="135">
        <f>'GIS Heat Input'!H33</f>
        <v>0</v>
      </c>
      <c r="G44" s="93"/>
      <c r="H44" s="111">
        <f>F44*'GWPs &amp; Fuel EFs'!$N$21</f>
        <v>0</v>
      </c>
      <c r="I44" s="93"/>
      <c r="J44" s="111">
        <f>F44*'GWPs &amp; Fuel EFs'!$M$49</f>
        <v>0</v>
      </c>
      <c r="K44" s="111">
        <f>J44*'GWPs &amp; Fuel EFs'!$D$11</f>
        <v>0</v>
      </c>
      <c r="L44" s="93"/>
      <c r="M44" s="111">
        <f>F44*'GWPs &amp; Fuel EFs'!$M$77</f>
        <v>0</v>
      </c>
      <c r="N44" s="111">
        <f>M44*'GWPs &amp; Fuel EFs'!$E$11</f>
        <v>0</v>
      </c>
    </row>
    <row r="45" spans="1:14">
      <c r="A45" s="284"/>
      <c r="B45" s="284"/>
      <c r="C45" s="18"/>
      <c r="D45" s="112" t="s">
        <v>404</v>
      </c>
      <c r="E45" s="134" t="s">
        <v>71</v>
      </c>
      <c r="F45" s="135">
        <f>'GIS Heat Input'!H34</f>
        <v>18775866.752708659</v>
      </c>
      <c r="G45" s="93"/>
      <c r="H45" s="111">
        <f>F45*'GWPs &amp; Fuel EFs'!$N$23</f>
        <v>3882729111.8833551</v>
      </c>
      <c r="I45" s="93"/>
      <c r="J45" s="111">
        <f>F45*'GWPs &amp; Fuel EFs'!$M$51</f>
        <v>298034.64398251765</v>
      </c>
      <c r="K45" s="111">
        <f>J45*'GWPs &amp; Fuel EFs'!$D$11</f>
        <v>7450866.0995629411</v>
      </c>
      <c r="L45" s="93"/>
      <c r="M45" s="111">
        <f>F45*'GWPs &amp; Fuel EFs'!$M$79</f>
        <v>149017.32199125882</v>
      </c>
      <c r="N45" s="111">
        <f>M45*'GWPs &amp; Fuel EFs'!$E$11</f>
        <v>44407161.953395128</v>
      </c>
    </row>
    <row r="46" spans="1:14" s="16" customFormat="1">
      <c r="A46" s="284"/>
      <c r="B46" s="284"/>
      <c r="D46" s="120" t="s">
        <v>2425</v>
      </c>
      <c r="E46" s="134" t="s">
        <v>70</v>
      </c>
      <c r="F46" s="135">
        <f>'GIS Heat Input'!H35</f>
        <v>52583.766531754511</v>
      </c>
      <c r="G46" s="93"/>
      <c r="H46" s="111">
        <f>F46*'GWPs &amp; Fuel EFs'!$N$27</f>
        <v>6036337.6945965057</v>
      </c>
      <c r="I46" s="93"/>
      <c r="J46" s="111">
        <f>F46*'GWPs &amp; Fuel EFs'!$M$55</f>
        <v>370.9675556502558</v>
      </c>
      <c r="K46" s="111">
        <f>J46*'GWPs &amp; Fuel EFs'!$D$11</f>
        <v>9274.1888912563954</v>
      </c>
      <c r="L46" s="93"/>
      <c r="M46" s="111">
        <f>F46*'GWPs &amp; Fuel EFs'!$M$83</f>
        <v>73.034237518644105</v>
      </c>
      <c r="N46" s="111">
        <f>M46*'GWPs &amp; Fuel EFs'!$E$11</f>
        <v>21764.202780555945</v>
      </c>
    </row>
    <row r="47" spans="1:14">
      <c r="A47" s="284"/>
      <c r="B47" s="301"/>
      <c r="C47" s="18"/>
      <c r="D47" s="93"/>
      <c r="E47" s="93"/>
      <c r="F47" s="108"/>
      <c r="G47" s="93"/>
      <c r="H47" s="115">
        <f>SUM(H43:H46)</f>
        <v>4402852802.7170982</v>
      </c>
      <c r="I47" s="93"/>
      <c r="J47" s="93"/>
      <c r="K47" s="114">
        <f>SUM(K43:K46)</f>
        <v>8249980.6620115582</v>
      </c>
      <c r="L47" s="93"/>
      <c r="M47" s="93"/>
      <c r="N47" s="114">
        <f>SUM(N43:N46)</f>
        <v>46282484.052821428</v>
      </c>
    </row>
    <row r="48" spans="1:14">
      <c r="A48" s="284"/>
      <c r="B48" s="284"/>
      <c r="C48" s="18"/>
    </row>
    <row r="49" spans="1:14">
      <c r="A49" s="17"/>
      <c r="B49" s="17"/>
      <c r="D49" s="116"/>
      <c r="E49" s="116"/>
      <c r="F49" s="116"/>
      <c r="G49" s="93"/>
      <c r="H49" s="116"/>
      <c r="I49" s="93"/>
      <c r="J49" s="116"/>
      <c r="K49" s="117"/>
      <c r="L49" s="93"/>
      <c r="M49" s="116"/>
      <c r="N49" s="116"/>
    </row>
    <row r="50" spans="1:14" ht="13">
      <c r="A50" s="869" t="s">
        <v>1626</v>
      </c>
      <c r="B50" s="869"/>
      <c r="D50" s="862" t="s">
        <v>228</v>
      </c>
      <c r="E50" s="862"/>
      <c r="F50" s="862"/>
      <c r="G50" s="93"/>
      <c r="H50" s="105" t="s">
        <v>228</v>
      </c>
      <c r="I50" s="93"/>
      <c r="J50" s="862" t="s">
        <v>228</v>
      </c>
      <c r="K50" s="862"/>
      <c r="L50" s="93"/>
      <c r="M50" s="862" t="s">
        <v>228</v>
      </c>
      <c r="N50" s="862"/>
    </row>
    <row r="51" spans="1:14" ht="13">
      <c r="A51" s="869">
        <f>A33</f>
        <v>2019</v>
      </c>
      <c r="B51" s="869"/>
      <c r="D51" s="862" t="s">
        <v>213</v>
      </c>
      <c r="E51" s="862"/>
      <c r="F51" s="862"/>
      <c r="G51" s="93"/>
      <c r="H51" s="105" t="s">
        <v>214</v>
      </c>
      <c r="I51" s="93"/>
      <c r="J51" s="862" t="s">
        <v>215</v>
      </c>
      <c r="K51" s="862"/>
      <c r="L51" s="93"/>
      <c r="M51" s="862" t="s">
        <v>216</v>
      </c>
      <c r="N51" s="862"/>
    </row>
    <row r="52" spans="1:14" s="13" customFormat="1" ht="42.75" customHeight="1">
      <c r="A52" s="297"/>
      <c r="B52" s="298" t="s">
        <v>341</v>
      </c>
      <c r="D52" s="107" t="s">
        <v>217</v>
      </c>
      <c r="E52" s="107" t="s">
        <v>218</v>
      </c>
      <c r="F52" s="107" t="str">
        <f>F16</f>
        <v>Heat Input from GIS certificates (MMBtu)</v>
      </c>
      <c r="G52" s="93"/>
      <c r="H52" s="92" t="s">
        <v>339</v>
      </c>
      <c r="I52" s="106"/>
      <c r="J52" s="90" t="s">
        <v>340</v>
      </c>
      <c r="K52" s="91" t="s">
        <v>341</v>
      </c>
      <c r="L52" s="106"/>
      <c r="M52" s="90" t="s">
        <v>342</v>
      </c>
      <c r="N52" s="91" t="s">
        <v>341</v>
      </c>
    </row>
    <row r="53" spans="1:14" ht="12.75" customHeight="1">
      <c r="A53" s="299" t="s">
        <v>220</v>
      </c>
      <c r="B53" s="300">
        <f>SUM(B54:B58)+F57</f>
        <v>140910467.3239429</v>
      </c>
      <c r="D53" s="90" t="s">
        <v>221</v>
      </c>
      <c r="E53" s="106"/>
      <c r="F53" s="90"/>
      <c r="G53" s="93"/>
      <c r="H53" s="93"/>
      <c r="I53" s="93"/>
      <c r="J53" s="106"/>
      <c r="K53" s="106"/>
      <c r="L53" s="93"/>
      <c r="M53" s="106"/>
      <c r="N53" s="106"/>
    </row>
    <row r="54" spans="1:14">
      <c r="A54" s="284" t="s">
        <v>1471</v>
      </c>
      <c r="B54" s="301">
        <f>H58</f>
        <v>154545610.80264813</v>
      </c>
      <c r="D54" s="109" t="s">
        <v>389</v>
      </c>
      <c r="E54" s="134" t="s">
        <v>48</v>
      </c>
      <c r="F54" s="135">
        <f>'GIS Heat Input'!H40</f>
        <v>0</v>
      </c>
      <c r="G54" s="93"/>
      <c r="H54" s="111">
        <f>F54*'GWPs &amp; Fuel EFs'!$N$7</f>
        <v>0</v>
      </c>
      <c r="I54" s="93"/>
      <c r="J54" s="111">
        <f>F54*'GWPs &amp; Fuel EFs'!$M$35</f>
        <v>0</v>
      </c>
      <c r="K54" s="111">
        <f>J54*'GWPs &amp; Fuel EFs'!$D$11</f>
        <v>0</v>
      </c>
      <c r="L54" s="93"/>
      <c r="M54" s="111">
        <f>F54*'GWPs &amp; Fuel EFs'!$M$63</f>
        <v>0</v>
      </c>
      <c r="N54" s="111">
        <f>M54*'GWPs &amp; Fuel EFs'!$E$11</f>
        <v>0</v>
      </c>
    </row>
    <row r="55" spans="1:14">
      <c r="A55" s="284" t="s">
        <v>222</v>
      </c>
      <c r="B55" s="301">
        <f>K58</f>
        <v>1264004.4504033376</v>
      </c>
      <c r="D55" s="109" t="s">
        <v>388</v>
      </c>
      <c r="E55" s="134" t="s">
        <v>41</v>
      </c>
      <c r="F55" s="135">
        <f>'GIS Heat Input'!H41</f>
        <v>0</v>
      </c>
      <c r="G55" s="93"/>
      <c r="H55" s="111">
        <f>F55*'GWPs &amp; Fuel EFs'!$N$8</f>
        <v>0</v>
      </c>
      <c r="I55" s="93"/>
      <c r="J55" s="111">
        <f>F55*'GWPs &amp; Fuel EFs'!$M$36</f>
        <v>0</v>
      </c>
      <c r="K55" s="111">
        <f>J55*'GWPs &amp; Fuel EFs'!$D$11</f>
        <v>0</v>
      </c>
      <c r="L55" s="93"/>
      <c r="M55" s="111">
        <f>F55*'GWPs &amp; Fuel EFs'!$M$64</f>
        <v>0</v>
      </c>
      <c r="N55" s="111">
        <f>M55*'GWPs &amp; Fuel EFs'!$E$11</f>
        <v>0</v>
      </c>
    </row>
    <row r="56" spans="1:14">
      <c r="A56" s="284" t="s">
        <v>223</v>
      </c>
      <c r="B56" s="301">
        <f>N58</f>
        <v>2008924.4065077053</v>
      </c>
      <c r="D56" s="109" t="s">
        <v>402</v>
      </c>
      <c r="E56" s="134" t="s">
        <v>19</v>
      </c>
      <c r="F56" s="135">
        <f>'GIS Heat Input'!H42</f>
        <v>762700.49002259644</v>
      </c>
      <c r="G56" s="93"/>
      <c r="H56" s="111">
        <f>F56*'GWPs &amp; Fuel EFs'!$N$9</f>
        <v>154545610.80264813</v>
      </c>
      <c r="I56" s="93"/>
      <c r="J56" s="111">
        <f>F56*'GWPs &amp; Fuel EFs'!$M$37</f>
        <v>50560.178016133505</v>
      </c>
      <c r="K56" s="111">
        <f>J56*'GWPs &amp; Fuel EFs'!$D$11</f>
        <v>1264004.4504033376</v>
      </c>
      <c r="L56" s="93"/>
      <c r="M56" s="111">
        <f>F56*'GWPs &amp; Fuel EFs'!$M$65</f>
        <v>6741.3570688178033</v>
      </c>
      <c r="N56" s="111">
        <f>M56*'GWPs &amp; Fuel EFs'!$E$11</f>
        <v>2008924.4065077053</v>
      </c>
    </row>
    <row r="57" spans="1:14">
      <c r="A57" s="284" t="s">
        <v>224</v>
      </c>
      <c r="B57" s="301">
        <f>K67</f>
        <v>-1858881.2179267204</v>
      </c>
      <c r="D57" s="193" t="s">
        <v>2697</v>
      </c>
      <c r="E57" s="194" t="s">
        <v>2429</v>
      </c>
      <c r="F57" s="227">
        <f>GIS!AB264*'State &amp; Province Summary'!H38</f>
        <v>0</v>
      </c>
      <c r="G57" s="93"/>
      <c r="H57" s="111"/>
      <c r="I57" s="93"/>
      <c r="J57" s="111"/>
      <c r="K57" s="111"/>
      <c r="L57" s="93"/>
      <c r="M57" s="111"/>
      <c r="N57" s="111"/>
    </row>
    <row r="58" spans="1:14">
      <c r="A58" s="284" t="s">
        <v>225</v>
      </c>
      <c r="B58" s="301">
        <f>N67</f>
        <v>-15049191.117689557</v>
      </c>
      <c r="D58" s="109"/>
      <c r="E58" s="93"/>
      <c r="F58" s="108"/>
      <c r="G58" s="93"/>
      <c r="H58" s="114">
        <f>SUM(H54:H56)</f>
        <v>154545610.80264813</v>
      </c>
      <c r="I58" s="93"/>
      <c r="J58" s="111"/>
      <c r="K58" s="114">
        <f>SUM(K54:K56)</f>
        <v>1264004.4504033376</v>
      </c>
      <c r="L58" s="93"/>
      <c r="M58" s="111"/>
      <c r="N58" s="114">
        <f>SUM(N54:N56)</f>
        <v>2008924.4065077053</v>
      </c>
    </row>
    <row r="59" spans="1:14">
      <c r="A59" s="284"/>
      <c r="B59" s="284"/>
    </row>
    <row r="60" spans="1:14">
      <c r="A60" s="284"/>
      <c r="B60" s="284"/>
    </row>
    <row r="61" spans="1:14" ht="13">
      <c r="A61" s="302" t="s">
        <v>226</v>
      </c>
      <c r="B61" s="300">
        <f>H67</f>
        <v>-1359805266.4141083</v>
      </c>
      <c r="D61" s="90" t="s">
        <v>227</v>
      </c>
      <c r="E61" s="93"/>
      <c r="F61" s="108"/>
      <c r="G61" s="93"/>
      <c r="H61" s="114"/>
      <c r="I61" s="93"/>
      <c r="J61" s="111"/>
      <c r="K61" s="114"/>
      <c r="L61" s="93"/>
      <c r="M61" s="111"/>
      <c r="N61" s="114"/>
    </row>
    <row r="62" spans="1:14">
      <c r="A62" s="284"/>
      <c r="B62" s="303"/>
      <c r="D62" s="112" t="s">
        <v>396</v>
      </c>
      <c r="E62" s="134" t="s">
        <v>65</v>
      </c>
      <c r="F62" s="135">
        <f>'GIS Heat Input'!H44</f>
        <v>-328753.32082320424</v>
      </c>
      <c r="G62" s="93"/>
      <c r="H62" s="111">
        <f>F62*'GWPs &amp; Fuel EFs'!$N$20</f>
        <v>-37739138.779845648</v>
      </c>
      <c r="I62" s="93"/>
      <c r="J62" s="111">
        <f>F62*'GWPs &amp; Fuel EFs'!$M$48</f>
        <v>-2319.28642395825</v>
      </c>
      <c r="K62" s="111">
        <f>J62*'GWPs &amp; Fuel EFs'!$D$11</f>
        <v>-57982.160598956252</v>
      </c>
      <c r="L62" s="93"/>
      <c r="M62" s="111">
        <f>F62*'GWPs &amp; Fuel EFs'!$M$76</f>
        <v>-456.60951471678044</v>
      </c>
      <c r="N62" s="111">
        <f>M62*'GWPs &amp; Fuel EFs'!$E$11</f>
        <v>-136069.63538560056</v>
      </c>
    </row>
    <row r="63" spans="1:14">
      <c r="A63" s="284"/>
      <c r="B63" s="284"/>
      <c r="D63" s="112" t="s">
        <v>399</v>
      </c>
      <c r="E63" s="134" t="s">
        <v>18</v>
      </c>
      <c r="F63" s="135">
        <f>'GIS Heat Input'!H45</f>
        <v>624018.75413419353</v>
      </c>
      <c r="G63" s="93"/>
      <c r="H63" s="111">
        <f>F63*'GWPs &amp; Fuel EFs'!$N$21</f>
        <v>130632085.55650906</v>
      </c>
      <c r="I63" s="93"/>
      <c r="J63" s="111">
        <f>F63*'GWPs &amp; Fuel EFs'!$M$49</f>
        <v>39189.625666952714</v>
      </c>
      <c r="K63" s="111">
        <f>J63*'GWPs &amp; Fuel EFs'!$D$11</f>
        <v>979740.64167381788</v>
      </c>
      <c r="L63" s="93"/>
      <c r="M63" s="111">
        <f>F63*'GWPs &amp; Fuel EFs'!$M$77</f>
        <v>5225.2834222603624</v>
      </c>
      <c r="N63" s="111">
        <f>M63*'GWPs &amp; Fuel EFs'!$E$11</f>
        <v>1557134.459833588</v>
      </c>
    </row>
    <row r="64" spans="1:14">
      <c r="A64" s="284"/>
      <c r="B64" s="284"/>
      <c r="D64" s="112" t="s">
        <v>404</v>
      </c>
      <c r="E64" s="134" t="s">
        <v>71</v>
      </c>
      <c r="F64" s="135">
        <f>'GIS Heat Input'!H46</f>
        <v>-6935708.458662617</v>
      </c>
      <c r="G64" s="93"/>
      <c r="H64" s="111">
        <f>F64*'GWPs &amp; Fuel EFs'!$N$23</f>
        <v>-1434260132.8963978</v>
      </c>
      <c r="I64" s="93"/>
      <c r="J64" s="111">
        <f>F64*'GWPs &amp; Fuel EFs'!$M$51</f>
        <v>-110092.46222658917</v>
      </c>
      <c r="K64" s="111">
        <f>J64*'GWPs &amp; Fuel EFs'!$D$11</f>
        <v>-2752311.5556647293</v>
      </c>
      <c r="L64" s="93"/>
      <c r="M64" s="111">
        <f>F64*'GWPs &amp; Fuel EFs'!$M$79</f>
        <v>-55046.231113294583</v>
      </c>
      <c r="N64" s="111">
        <f>M64*'GWPs &amp; Fuel EFs'!$E$11</f>
        <v>-16403776.871761786</v>
      </c>
    </row>
    <row r="65" spans="1:14" s="16" customFormat="1">
      <c r="A65" s="284"/>
      <c r="B65" s="284"/>
      <c r="D65" s="120" t="s">
        <v>2425</v>
      </c>
      <c r="E65" s="134" t="s">
        <v>70</v>
      </c>
      <c r="F65" s="135">
        <f>'GIS Heat Input'!H47</f>
        <v>-160617.87105797729</v>
      </c>
      <c r="G65" s="93"/>
      <c r="H65" s="111">
        <f>F65*'GWPs &amp; Fuel EFs'!$N$27</f>
        <v>-18438080.294374067</v>
      </c>
      <c r="I65" s="93"/>
      <c r="J65" s="111">
        <f>F65*'GWPs &amp; Fuel EFs'!$M$55</f>
        <v>-1133.1257334741122</v>
      </c>
      <c r="K65" s="111">
        <f>J65*'GWPs &amp; Fuel EFs'!$D$11</f>
        <v>-28328.143336852805</v>
      </c>
      <c r="L65" s="93"/>
      <c r="M65" s="111">
        <f>F65*'GWPs &amp; Fuel EFs'!$M$83</f>
        <v>-223.08412877771582</v>
      </c>
      <c r="N65" s="111">
        <f>M65*'GWPs &amp; Fuel EFs'!$E$11</f>
        <v>-66479.070375759315</v>
      </c>
    </row>
    <row r="66" spans="1:14" s="16" customFormat="1">
      <c r="A66" s="284"/>
      <c r="B66" s="284"/>
      <c r="D66" s="193" t="s">
        <v>2697</v>
      </c>
      <c r="E66" s="194" t="s">
        <v>2691</v>
      </c>
      <c r="F66" s="204">
        <f>GIS!AB264*'State &amp; Province Summary'!H39</f>
        <v>0</v>
      </c>
      <c r="G66" s="93"/>
      <c r="H66" s="111">
        <f>F66</f>
        <v>0</v>
      </c>
      <c r="I66" s="93"/>
      <c r="J66" s="111"/>
      <c r="K66" s="111"/>
      <c r="L66" s="93"/>
      <c r="M66" s="111"/>
      <c r="N66" s="111"/>
    </row>
    <row r="67" spans="1:14">
      <c r="A67" s="304"/>
      <c r="B67" s="305"/>
      <c r="D67" s="93"/>
      <c r="E67" s="93"/>
      <c r="F67" s="108"/>
      <c r="G67" s="93"/>
      <c r="H67" s="115">
        <f>SUM(H62:H66)</f>
        <v>-1359805266.4141083</v>
      </c>
      <c r="I67" s="93"/>
      <c r="J67" s="93"/>
      <c r="K67" s="114">
        <f>SUM(K62:K65)</f>
        <v>-1858881.2179267204</v>
      </c>
      <c r="L67" s="93"/>
      <c r="M67" s="93"/>
      <c r="N67" s="114">
        <f>SUM(N62:N65)</f>
        <v>-15049191.117689557</v>
      </c>
    </row>
    <row r="68" spans="1:14">
      <c r="A68" s="284"/>
      <c r="B68" s="301"/>
    </row>
    <row r="69" spans="1:14">
      <c r="A69" s="17"/>
      <c r="B69" s="17"/>
      <c r="D69" s="116"/>
      <c r="E69" s="116"/>
      <c r="F69" s="116"/>
      <c r="G69" s="93"/>
      <c r="H69" s="116"/>
      <c r="I69" s="93"/>
      <c r="J69" s="116"/>
      <c r="K69" s="116"/>
      <c r="L69" s="93"/>
      <c r="M69" s="116"/>
      <c r="N69" s="116"/>
    </row>
    <row r="70" spans="1:14" ht="13">
      <c r="A70" s="869" t="s">
        <v>1627</v>
      </c>
      <c r="B70" s="869"/>
      <c r="D70" s="862" t="s">
        <v>229</v>
      </c>
      <c r="E70" s="862"/>
      <c r="F70" s="862"/>
      <c r="G70" s="93"/>
      <c r="H70" s="105" t="s">
        <v>229</v>
      </c>
      <c r="I70" s="93"/>
      <c r="J70" s="862" t="s">
        <v>229</v>
      </c>
      <c r="K70" s="862"/>
      <c r="L70" s="93"/>
      <c r="M70" s="862" t="s">
        <v>229</v>
      </c>
      <c r="N70" s="862"/>
    </row>
    <row r="71" spans="1:14" ht="13">
      <c r="A71" s="869">
        <f>A51</f>
        <v>2019</v>
      </c>
      <c r="B71" s="869"/>
      <c r="D71" s="862" t="s">
        <v>213</v>
      </c>
      <c r="E71" s="862"/>
      <c r="F71" s="862"/>
      <c r="G71" s="93"/>
      <c r="H71" s="105" t="s">
        <v>214</v>
      </c>
      <c r="I71" s="93"/>
      <c r="J71" s="862" t="s">
        <v>215</v>
      </c>
      <c r="K71" s="862"/>
      <c r="L71" s="93"/>
      <c r="M71" s="862" t="s">
        <v>216</v>
      </c>
      <c r="N71" s="862"/>
    </row>
    <row r="72" spans="1:14" s="13" customFormat="1" ht="42.75" customHeight="1">
      <c r="A72" s="297"/>
      <c r="B72" s="298" t="s">
        <v>341</v>
      </c>
      <c r="D72" s="107" t="s">
        <v>217</v>
      </c>
      <c r="E72" s="107" t="s">
        <v>218</v>
      </c>
      <c r="F72" s="107" t="str">
        <f>F16</f>
        <v>Heat Input from GIS certificates (MMBtu)</v>
      </c>
      <c r="G72" s="93"/>
      <c r="H72" s="92" t="s">
        <v>339</v>
      </c>
      <c r="I72" s="106"/>
      <c r="J72" s="90" t="s">
        <v>340</v>
      </c>
      <c r="K72" s="91" t="s">
        <v>341</v>
      </c>
      <c r="L72" s="106"/>
      <c r="M72" s="90" t="s">
        <v>342</v>
      </c>
      <c r="N72" s="91" t="s">
        <v>341</v>
      </c>
    </row>
    <row r="73" spans="1:14" ht="12.75" customHeight="1">
      <c r="A73" s="299" t="s">
        <v>220</v>
      </c>
      <c r="B73" s="300">
        <f>SUM(B74:B78)</f>
        <v>-171473812.76914325</v>
      </c>
      <c r="D73" s="90" t="s">
        <v>221</v>
      </c>
      <c r="E73" s="90"/>
      <c r="F73" s="90"/>
      <c r="G73" s="93"/>
      <c r="H73" s="93"/>
      <c r="I73" s="93"/>
      <c r="J73" s="106"/>
      <c r="K73" s="106"/>
      <c r="L73" s="93"/>
      <c r="M73" s="106"/>
      <c r="N73" s="106"/>
    </row>
    <row r="74" spans="1:14">
      <c r="A74" s="284" t="s">
        <v>1472</v>
      </c>
      <c r="B74" s="301">
        <f>H77</f>
        <v>-153290460.50917628</v>
      </c>
      <c r="D74" s="109" t="s">
        <v>389</v>
      </c>
      <c r="E74" s="134" t="s">
        <v>48</v>
      </c>
      <c r="F74" s="135">
        <f>'GIS Heat Input'!H52</f>
        <v>1887.1123509294575</v>
      </c>
      <c r="G74" s="93"/>
      <c r="H74" s="111">
        <f>F74*'GWPs &amp; Fuel EFs'!$N$7</f>
        <v>304372.34957172227</v>
      </c>
      <c r="I74" s="93"/>
      <c r="J74" s="111">
        <f>F74*'GWPs &amp; Fuel EFs'!$M$35</f>
        <v>12.48111172602138</v>
      </c>
      <c r="K74" s="111">
        <f>J74*'GWPs &amp; Fuel EFs'!$D$11</f>
        <v>312.02779315053448</v>
      </c>
      <c r="L74" s="93"/>
      <c r="M74" s="111">
        <f>F74*'GWPs &amp; Fuel EFs'!$M$63</f>
        <v>2.4962223452042758</v>
      </c>
      <c r="N74" s="111">
        <f>M74*'GWPs &amp; Fuel EFs'!$E$11</f>
        <v>743.8742588708742</v>
      </c>
    </row>
    <row r="75" spans="1:14">
      <c r="A75" s="284" t="s">
        <v>222</v>
      </c>
      <c r="B75" s="301">
        <f>K77</f>
        <v>-1263244.5334666891</v>
      </c>
      <c r="D75" s="109" t="s">
        <v>388</v>
      </c>
      <c r="E75" s="134" t="s">
        <v>41</v>
      </c>
      <c r="F75" s="135">
        <f>'GIS Heat Input'!H53</f>
        <v>8126.3639306744035</v>
      </c>
      <c r="G75" s="93"/>
      <c r="H75" s="111">
        <f>F75*'GWPs &amp; Fuel EFs'!$N$8</f>
        <v>950777.9439001194</v>
      </c>
      <c r="I75" s="93"/>
      <c r="J75" s="111">
        <f>F75*'GWPs &amp; Fuel EFs'!$M$36</f>
        <v>17.9155657399169</v>
      </c>
      <c r="K75" s="111">
        <f>J75*'GWPs &amp; Fuel EFs'!$D$11</f>
        <v>447.88914349792253</v>
      </c>
      <c r="L75" s="93"/>
      <c r="M75" s="111">
        <f>F75*'GWPs &amp; Fuel EFs'!$M$64</f>
        <v>1.7915565739916901</v>
      </c>
      <c r="N75" s="111">
        <f>M75*'GWPs &amp; Fuel EFs'!$E$11</f>
        <v>533.88385904952361</v>
      </c>
    </row>
    <row r="76" spans="1:14">
      <c r="A76" s="284" t="s">
        <v>223</v>
      </c>
      <c r="B76" s="301">
        <f>N77</f>
        <v>-2007646.6483897849</v>
      </c>
      <c r="D76" s="109" t="s">
        <v>402</v>
      </c>
      <c r="E76" s="134" t="s">
        <v>19</v>
      </c>
      <c r="F76" s="135">
        <f>'GIS Heat Input'!H54</f>
        <v>-762700.49002259644</v>
      </c>
      <c r="G76" s="93"/>
      <c r="H76" s="111">
        <f>F76*'GWPs &amp; Fuel EFs'!$N$9</f>
        <v>-154545610.80264813</v>
      </c>
      <c r="I76" s="93"/>
      <c r="J76" s="111">
        <f>F76*'GWPs &amp; Fuel EFs'!$M$37</f>
        <v>-50560.178016133505</v>
      </c>
      <c r="K76" s="111">
        <f>J76*'GWPs &amp; Fuel EFs'!$D$11</f>
        <v>-1264004.4504033376</v>
      </c>
      <c r="L76" s="93"/>
      <c r="M76" s="111">
        <f>F76*'GWPs &amp; Fuel EFs'!$M$65</f>
        <v>-6741.3570688178033</v>
      </c>
      <c r="N76" s="111">
        <f>M76*'GWPs &amp; Fuel EFs'!$E$11</f>
        <v>-2008924.4065077053</v>
      </c>
    </row>
    <row r="77" spans="1:14">
      <c r="A77" s="284" t="s">
        <v>224</v>
      </c>
      <c r="B77" s="301">
        <f>K85</f>
        <v>-2472351.0840150709</v>
      </c>
      <c r="D77" s="109"/>
      <c r="E77" s="93"/>
      <c r="F77" s="108"/>
      <c r="G77" s="93"/>
      <c r="H77" s="114">
        <f>SUM(H74:H76)</f>
        <v>-153290460.50917628</v>
      </c>
      <c r="I77" s="93"/>
      <c r="J77" s="111"/>
      <c r="K77" s="114">
        <f>SUM(K74:K76)</f>
        <v>-1263244.5334666891</v>
      </c>
      <c r="L77" s="93"/>
      <c r="M77" s="111"/>
      <c r="N77" s="114">
        <f>SUM(N74:N76)</f>
        <v>-2007646.6483897849</v>
      </c>
    </row>
    <row r="78" spans="1:14">
      <c r="A78" s="284" t="s">
        <v>225</v>
      </c>
      <c r="B78" s="301">
        <f>N85</f>
        <v>-12440109.994095407</v>
      </c>
    </row>
    <row r="79" spans="1:14">
      <c r="A79" s="284"/>
      <c r="B79" s="284"/>
    </row>
    <row r="80" spans="1:14" ht="13">
      <c r="A80" s="302" t="s">
        <v>226</v>
      </c>
      <c r="B80" s="300">
        <f>H85</f>
        <v>-837087536.59270024</v>
      </c>
      <c r="D80" s="90" t="s">
        <v>227</v>
      </c>
      <c r="E80" s="93"/>
      <c r="F80" s="108"/>
      <c r="G80" s="93"/>
      <c r="H80" s="114"/>
      <c r="I80" s="93"/>
      <c r="J80" s="111"/>
      <c r="K80" s="114"/>
      <c r="L80" s="93"/>
      <c r="M80" s="111"/>
      <c r="N80" s="114"/>
    </row>
    <row r="81" spans="1:14">
      <c r="A81" s="284"/>
      <c r="B81" s="303"/>
      <c r="D81" s="112" t="s">
        <v>396</v>
      </c>
      <c r="E81" s="134" t="s">
        <v>65</v>
      </c>
      <c r="F81" s="135">
        <f>'GIS Heat Input'!H56</f>
        <v>3118023.5457859347</v>
      </c>
      <c r="G81" s="93"/>
      <c r="H81" s="111">
        <f>F81*'GWPs &amp; Fuel EFs'!$N$20</f>
        <v>357932576.98078966</v>
      </c>
      <c r="I81" s="93"/>
      <c r="J81" s="111">
        <f>F81*'GWPs &amp; Fuel EFs'!$M$48</f>
        <v>21997.008763943286</v>
      </c>
      <c r="K81" s="111">
        <f>J81*'GWPs &amp; Fuel EFs'!$D$11</f>
        <v>549925.21909858217</v>
      </c>
      <c r="L81" s="93"/>
      <c r="M81" s="111">
        <f>F81*'GWPs &amp; Fuel EFs'!$M$76</f>
        <v>4330.6611004013348</v>
      </c>
      <c r="N81" s="111">
        <f>M81*'GWPs &amp; Fuel EFs'!$E$11</f>
        <v>1290537.0079195977</v>
      </c>
    </row>
    <row r="82" spans="1:14">
      <c r="A82" s="284"/>
      <c r="B82" s="284"/>
      <c r="D82" s="112" t="s">
        <v>399</v>
      </c>
      <c r="E82" s="134" t="s">
        <v>18</v>
      </c>
      <c r="F82" s="135">
        <f>'GIS Heat Input'!H57</f>
        <v>-624018.75413419353</v>
      </c>
      <c r="G82" s="93"/>
      <c r="H82" s="111">
        <f>F82*'GWPs &amp; Fuel EFs'!$N$21</f>
        <v>-130632085.55650906</v>
      </c>
      <c r="I82" s="93"/>
      <c r="J82" s="111">
        <f>F82*'GWPs &amp; Fuel EFs'!$M$49</f>
        <v>-39189.625666952714</v>
      </c>
      <c r="K82" s="111">
        <f>J82*'GWPs &amp; Fuel EFs'!$D$11</f>
        <v>-979740.64167381788</v>
      </c>
      <c r="L82" s="93"/>
      <c r="M82" s="111">
        <f>F82*'GWPs &amp; Fuel EFs'!$M$77</f>
        <v>-5225.2834222603624</v>
      </c>
      <c r="N82" s="111">
        <f>M82*'GWPs &amp; Fuel EFs'!$E$11</f>
        <v>-1557134.459833588</v>
      </c>
    </row>
    <row r="83" spans="1:14">
      <c r="A83" s="284"/>
      <c r="B83" s="284"/>
      <c r="D83" s="112" t="s">
        <v>404</v>
      </c>
      <c r="E83" s="134" t="s">
        <v>71</v>
      </c>
      <c r="F83" s="135">
        <f>'GIS Heat Input'!H58</f>
        <v>-5147103.2903274931</v>
      </c>
      <c r="G83" s="118"/>
      <c r="H83" s="111">
        <f>F83*'GWPs &amp; Fuel EFs'!$N$23</f>
        <v>-1064388028.0169808</v>
      </c>
      <c r="I83" s="93"/>
      <c r="J83" s="111">
        <f>F83*'GWPs &amp; Fuel EFs'!$M$51</f>
        <v>-81701.426457593407</v>
      </c>
      <c r="K83" s="111">
        <f>J83*'GWPs &amp; Fuel EFs'!$D$11</f>
        <v>-2042535.6614398351</v>
      </c>
      <c r="L83" s="93"/>
      <c r="M83" s="111">
        <f>F83*'GWPs &amp; Fuel EFs'!$M$79</f>
        <v>-40850.713228796703</v>
      </c>
      <c r="N83" s="111">
        <f>M83*'GWPs &amp; Fuel EFs'!$E$11</f>
        <v>-12173512.542181417</v>
      </c>
    </row>
    <row r="84" spans="1:14" ht="13">
      <c r="A84" s="302"/>
      <c r="B84" s="300"/>
      <c r="D84" s="120" t="s">
        <v>2425</v>
      </c>
      <c r="E84" s="134" t="s">
        <v>70</v>
      </c>
      <c r="F84" s="135">
        <f>'GIS Heat Input'!H59</f>
        <v>76680.313106540474</v>
      </c>
      <c r="G84" s="93"/>
      <c r="H84" s="111">
        <f>F84*'GWPs &amp; Fuel EFs'!$N$27</f>
        <v>8802493.5254296381</v>
      </c>
      <c r="I84" s="93"/>
      <c r="J84" s="111">
        <f>F84*'GWPs &amp; Fuel EFs'!$M$55</f>
        <v>540.96368890675717</v>
      </c>
      <c r="K84" s="111">
        <f>J84*'GWPs &amp; Fuel EFs'!$D$11</f>
        <v>13524.092222668929</v>
      </c>
      <c r="L84" s="93"/>
      <c r="M84" s="111">
        <f>F84*'GWPs &amp; Fuel EFs'!$M$83</f>
        <v>106.5022262535178</v>
      </c>
      <c r="N84" s="111">
        <f>M84*'GWPs &amp; Fuel EFs'!$E$11</f>
        <v>31737.663423548307</v>
      </c>
    </row>
    <row r="85" spans="1:14">
      <c r="A85" s="284"/>
      <c r="B85" s="305"/>
      <c r="D85" s="93"/>
      <c r="E85" s="93"/>
      <c r="F85" s="93"/>
      <c r="G85" s="93"/>
      <c r="H85" s="115">
        <f>SUM(H81:H83)</f>
        <v>-837087536.59270024</v>
      </c>
      <c r="I85" s="93"/>
      <c r="J85" s="111"/>
      <c r="K85" s="114">
        <f>SUM(K81:K83)</f>
        <v>-2472351.0840150709</v>
      </c>
      <c r="L85" s="93"/>
      <c r="M85" s="111"/>
      <c r="N85" s="114">
        <f>SUM(N81:N83)</f>
        <v>-12440109.994095407</v>
      </c>
    </row>
    <row r="86" spans="1:14">
      <c r="A86" s="284"/>
      <c r="B86" s="284"/>
    </row>
    <row r="87" spans="1:14">
      <c r="A87" s="17"/>
      <c r="B87" s="17"/>
      <c r="D87" s="116"/>
      <c r="E87" s="116"/>
      <c r="F87" s="116"/>
      <c r="G87" s="93"/>
      <c r="H87" s="116"/>
      <c r="I87" s="93"/>
      <c r="J87" s="116"/>
      <c r="K87" s="116"/>
      <c r="L87" s="93"/>
      <c r="M87" s="116"/>
      <c r="N87" s="116"/>
    </row>
    <row r="88" spans="1:14" ht="13">
      <c r="A88" s="869" t="s">
        <v>1628</v>
      </c>
      <c r="B88" s="869"/>
      <c r="D88" s="862" t="s">
        <v>233</v>
      </c>
      <c r="E88" s="862"/>
      <c r="F88" s="862"/>
      <c r="G88" s="93"/>
      <c r="H88" s="105" t="s">
        <v>233</v>
      </c>
      <c r="I88" s="93"/>
      <c r="J88" s="862" t="s">
        <v>233</v>
      </c>
      <c r="K88" s="862"/>
      <c r="L88" s="93"/>
      <c r="M88" s="862" t="s">
        <v>233</v>
      </c>
      <c r="N88" s="862"/>
    </row>
    <row r="89" spans="1:14" ht="13">
      <c r="A89" s="869">
        <f>A71</f>
        <v>2019</v>
      </c>
      <c r="B89" s="869"/>
      <c r="D89" s="862" t="s">
        <v>213</v>
      </c>
      <c r="E89" s="862"/>
      <c r="F89" s="862"/>
      <c r="G89" s="93"/>
      <c r="H89" s="105" t="s">
        <v>214</v>
      </c>
      <c r="I89" s="93"/>
      <c r="J89" s="862" t="s">
        <v>215</v>
      </c>
      <c r="K89" s="862"/>
      <c r="L89" s="93"/>
      <c r="M89" s="862" t="s">
        <v>216</v>
      </c>
      <c r="N89" s="862"/>
    </row>
    <row r="90" spans="1:14" s="13" customFormat="1" ht="42.75" customHeight="1">
      <c r="A90" s="297"/>
      <c r="B90" s="298" t="s">
        <v>341</v>
      </c>
      <c r="D90" s="107" t="s">
        <v>217</v>
      </c>
      <c r="E90" s="107" t="s">
        <v>218</v>
      </c>
      <c r="F90" s="107" t="str">
        <f>F16</f>
        <v>Heat Input from GIS certificates (MMBtu)</v>
      </c>
      <c r="G90" s="93"/>
      <c r="H90" s="92" t="s">
        <v>339</v>
      </c>
      <c r="I90" s="106"/>
      <c r="J90" s="90" t="s">
        <v>340</v>
      </c>
      <c r="K90" s="91" t="s">
        <v>341</v>
      </c>
      <c r="L90" s="106"/>
      <c r="M90" s="90" t="s">
        <v>342</v>
      </c>
      <c r="N90" s="91" t="s">
        <v>341</v>
      </c>
    </row>
    <row r="91" spans="1:14" ht="12.75" customHeight="1">
      <c r="A91" s="299" t="s">
        <v>220</v>
      </c>
      <c r="B91" s="300">
        <f>SUM(B92:B96)+F95</f>
        <v>-46025204.25196147</v>
      </c>
      <c r="D91" s="90" t="s">
        <v>221</v>
      </c>
      <c r="E91" s="90"/>
      <c r="F91" s="90"/>
      <c r="G91" s="93"/>
      <c r="H91" s="93"/>
      <c r="I91" s="93"/>
      <c r="J91" s="106"/>
      <c r="K91" s="106"/>
      <c r="L91" s="93"/>
      <c r="M91" s="106"/>
      <c r="N91" s="106"/>
    </row>
    <row r="92" spans="1:14">
      <c r="A92" s="284" t="s">
        <v>1472</v>
      </c>
      <c r="B92" s="301">
        <f>H96</f>
        <v>0</v>
      </c>
      <c r="D92" s="109" t="s">
        <v>389</v>
      </c>
      <c r="E92" s="134" t="s">
        <v>48</v>
      </c>
      <c r="F92" s="135">
        <f>'GIS Heat Input'!H88</f>
        <v>0</v>
      </c>
      <c r="G92" s="93"/>
      <c r="H92" s="111">
        <f>F92*'GWPs &amp; Fuel EFs'!$N$7</f>
        <v>0</v>
      </c>
      <c r="I92" s="93"/>
      <c r="J92" s="111">
        <f>F92*'GWPs &amp; Fuel EFs'!$M$35</f>
        <v>0</v>
      </c>
      <c r="K92" s="111">
        <f>J92*'GWPs &amp; Fuel EFs'!$D$11</f>
        <v>0</v>
      </c>
      <c r="L92" s="93"/>
      <c r="M92" s="111">
        <f>F92*'GWPs &amp; Fuel EFs'!$M$63</f>
        <v>0</v>
      </c>
      <c r="N92" s="111">
        <f>M92*'GWPs &amp; Fuel EFs'!$E$11</f>
        <v>0</v>
      </c>
    </row>
    <row r="93" spans="1:14">
      <c r="A93" s="284" t="s">
        <v>222</v>
      </c>
      <c r="B93" s="301">
        <f>K96</f>
        <v>0</v>
      </c>
      <c r="D93" s="109" t="s">
        <v>388</v>
      </c>
      <c r="E93" s="134" t="s">
        <v>41</v>
      </c>
      <c r="F93" s="135">
        <f>'GIS Heat Input'!H89</f>
        <v>0</v>
      </c>
      <c r="G93" s="93"/>
      <c r="H93" s="111">
        <f>F93*'GWPs &amp; Fuel EFs'!$N$8</f>
        <v>0</v>
      </c>
      <c r="I93" s="93"/>
      <c r="J93" s="111">
        <f>F93*'GWPs &amp; Fuel EFs'!$M$36</f>
        <v>0</v>
      </c>
      <c r="K93" s="111">
        <f>J93*'GWPs &amp; Fuel EFs'!$D$11</f>
        <v>0</v>
      </c>
      <c r="L93" s="93"/>
      <c r="M93" s="111">
        <f>F93*'GWPs &amp; Fuel EFs'!$M$64</f>
        <v>0</v>
      </c>
      <c r="N93" s="111">
        <f>M93*'GWPs &amp; Fuel EFs'!$E$11</f>
        <v>0</v>
      </c>
    </row>
    <row r="94" spans="1:14">
      <c r="A94" s="284" t="s">
        <v>223</v>
      </c>
      <c r="B94" s="301">
        <f>N96</f>
        <v>0</v>
      </c>
      <c r="D94" s="109" t="s">
        <v>402</v>
      </c>
      <c r="E94" s="134" t="s">
        <v>19</v>
      </c>
      <c r="F94" s="135">
        <f>'GIS Heat Input'!H90</f>
        <v>0</v>
      </c>
      <c r="G94" s="93"/>
      <c r="H94" s="111">
        <f>F94*'GWPs &amp; Fuel EFs'!$N$9</f>
        <v>0</v>
      </c>
      <c r="I94" s="93"/>
      <c r="J94" s="111">
        <f>F94*'GWPs &amp; Fuel EFs'!$M$37</f>
        <v>0</v>
      </c>
      <c r="K94" s="111">
        <f>J94*'GWPs &amp; Fuel EFs'!$D$11</f>
        <v>0</v>
      </c>
      <c r="L94" s="93"/>
      <c r="M94" s="111">
        <f>F94*'GWPs &amp; Fuel EFs'!$M$65</f>
        <v>0</v>
      </c>
      <c r="N94" s="111">
        <f>M94*'GWPs &amp; Fuel EFs'!$E$11</f>
        <v>0</v>
      </c>
    </row>
    <row r="95" spans="1:14">
      <c r="A95" s="284" t="s">
        <v>224</v>
      </c>
      <c r="B95" s="301">
        <f>K104</f>
        <v>-1168805.8658212158</v>
      </c>
      <c r="D95" s="193" t="s">
        <v>2430</v>
      </c>
      <c r="E95" s="194" t="s">
        <v>2429</v>
      </c>
      <c r="F95" s="195">
        <f>-(GIS!AI238*'State &amp; Province Summary'!H35)</f>
        <v>-42113503.220524319</v>
      </c>
      <c r="G95" s="93"/>
      <c r="H95" s="111"/>
      <c r="I95" s="93"/>
      <c r="J95" s="111"/>
      <c r="K95" s="111"/>
      <c r="L95" s="93"/>
      <c r="M95" s="111"/>
      <c r="N95" s="111"/>
    </row>
    <row r="96" spans="1:14">
      <c r="A96" s="284" t="s">
        <v>225</v>
      </c>
      <c r="B96" s="301">
        <f>N104</f>
        <v>-2742895.1656159377</v>
      </c>
      <c r="D96" s="109"/>
      <c r="E96" s="93"/>
      <c r="F96" s="108"/>
      <c r="G96" s="93"/>
      <c r="H96" s="114">
        <f>SUM(H92:H94)</f>
        <v>0</v>
      </c>
      <c r="I96" s="93"/>
      <c r="J96" s="111"/>
      <c r="K96" s="114">
        <f>SUM(K92:K94)</f>
        <v>0</v>
      </c>
      <c r="L96" s="93"/>
      <c r="M96" s="111"/>
      <c r="N96" s="114">
        <f>SUM(N92:N94)</f>
        <v>0</v>
      </c>
    </row>
    <row r="97" spans="1:14">
      <c r="A97" s="284"/>
      <c r="B97" s="284"/>
    </row>
    <row r="98" spans="1:14" ht="13">
      <c r="A98" s="302" t="s">
        <v>226</v>
      </c>
      <c r="B98" s="300">
        <f>H104</f>
        <v>-764314924.48919916</v>
      </c>
      <c r="D98" s="90" t="s">
        <v>227</v>
      </c>
      <c r="E98" s="93"/>
      <c r="F98" s="108"/>
      <c r="G98" s="93"/>
      <c r="H98" s="114"/>
      <c r="I98" s="93"/>
      <c r="J98" s="111"/>
      <c r="K98" s="114"/>
      <c r="L98" s="93"/>
      <c r="M98" s="111"/>
      <c r="N98" s="114"/>
    </row>
    <row r="99" spans="1:14">
      <c r="A99" s="284"/>
      <c r="B99" s="303"/>
      <c r="D99" s="112" t="s">
        <v>396</v>
      </c>
      <c r="E99" s="134" t="s">
        <v>65</v>
      </c>
      <c r="F99" s="135">
        <f>'GIS Heat Input'!H92</f>
        <v>-6627017.7899041958</v>
      </c>
      <c r="G99" s="93"/>
      <c r="H99" s="111">
        <f>F99*'GWPs &amp; Fuel EFs'!$N$20</f>
        <v>-760746517.91638386</v>
      </c>
      <c r="I99" s="93"/>
      <c r="J99" s="111">
        <f>F99*'GWPs &amp; Fuel EFs'!$M$48</f>
        <v>-46752.234632848631</v>
      </c>
      <c r="K99" s="111">
        <f>J99*'GWPs &amp; Fuel EFs'!$D$11</f>
        <v>-1168805.8658212158</v>
      </c>
      <c r="L99" s="93"/>
      <c r="M99" s="111">
        <f>F99*'GWPs &amp; Fuel EFs'!$M$76</f>
        <v>-9204.3461933420731</v>
      </c>
      <c r="N99" s="111">
        <f>M99*'GWPs &amp; Fuel EFs'!$E$11</f>
        <v>-2742895.1656159377</v>
      </c>
    </row>
    <row r="100" spans="1:14">
      <c r="A100" s="284"/>
      <c r="B100" s="284"/>
      <c r="D100" s="112" t="s">
        <v>399</v>
      </c>
      <c r="E100" s="134" t="s">
        <v>18</v>
      </c>
      <c r="F100" s="135">
        <f>'GIS Heat Input'!H93</f>
        <v>0</v>
      </c>
      <c r="G100" s="93"/>
      <c r="H100" s="111">
        <f>F100*'GWPs &amp; Fuel EFs'!$N$21</f>
        <v>0</v>
      </c>
      <c r="I100" s="93"/>
      <c r="J100" s="111">
        <f>F100*'GWPs &amp; Fuel EFs'!$M$49</f>
        <v>0</v>
      </c>
      <c r="K100" s="111">
        <f>J100*'GWPs &amp; Fuel EFs'!$D$11</f>
        <v>0</v>
      </c>
      <c r="L100" s="93"/>
      <c r="M100" s="111">
        <f>F100*'GWPs &amp; Fuel EFs'!$M$77</f>
        <v>0</v>
      </c>
      <c r="N100" s="111">
        <f>M100*'GWPs &amp; Fuel EFs'!$E$11</f>
        <v>0</v>
      </c>
    </row>
    <row r="101" spans="1:14">
      <c r="A101" s="284"/>
      <c r="B101" s="284"/>
      <c r="D101" s="112" t="s">
        <v>404</v>
      </c>
      <c r="E101" s="134" t="s">
        <v>71</v>
      </c>
      <c r="F101" s="135">
        <f>'GIS Heat Input'!H94</f>
        <v>0</v>
      </c>
      <c r="G101" s="93"/>
      <c r="H101" s="111">
        <f>F101*'GWPs &amp; Fuel EFs'!$N$23</f>
        <v>0</v>
      </c>
      <c r="I101" s="93"/>
      <c r="J101" s="111">
        <f>F101*'GWPs &amp; Fuel EFs'!$M$51</f>
        <v>0</v>
      </c>
      <c r="K101" s="111">
        <f>J101*'GWPs &amp; Fuel EFs'!$D$11</f>
        <v>0</v>
      </c>
      <c r="L101" s="93"/>
      <c r="M101" s="111">
        <f>F101*'GWPs &amp; Fuel EFs'!$M$79</f>
        <v>0</v>
      </c>
      <c r="N101" s="111">
        <f>M101*'GWPs &amp; Fuel EFs'!$E$11</f>
        <v>0</v>
      </c>
    </row>
    <row r="102" spans="1:14" s="16" customFormat="1">
      <c r="A102" s="284"/>
      <c r="B102" s="284"/>
      <c r="D102" s="120" t="s">
        <v>2425</v>
      </c>
      <c r="E102" s="134" t="s">
        <v>70</v>
      </c>
      <c r="F102" s="135">
        <f>'GIS Heat Input'!H95</f>
        <v>0</v>
      </c>
      <c r="G102" s="93"/>
      <c r="H102" s="111">
        <f>F102*'GWPs &amp; Fuel EFs'!$N$27</f>
        <v>0</v>
      </c>
      <c r="I102" s="93"/>
      <c r="J102" s="111">
        <f>F102*'GWPs &amp; Fuel EFs'!$M$55</f>
        <v>0</v>
      </c>
      <c r="K102" s="111">
        <f>J102*'GWPs &amp; Fuel EFs'!$D$11</f>
        <v>0</v>
      </c>
      <c r="L102" s="93"/>
      <c r="M102" s="111">
        <f>F102*'GWPs &amp; Fuel EFs'!$M$83</f>
        <v>0</v>
      </c>
      <c r="N102" s="111">
        <f>M102*'GWPs &amp; Fuel EFs'!$E$11</f>
        <v>0</v>
      </c>
    </row>
    <row r="103" spans="1:14" s="16" customFormat="1">
      <c r="A103" s="284"/>
      <c r="B103" s="284"/>
      <c r="D103" s="193" t="s">
        <v>2430</v>
      </c>
      <c r="E103" s="194" t="s">
        <v>2691</v>
      </c>
      <c r="F103" s="204">
        <f>-(GIS!AI238*'State &amp; Province Summary'!H36)</f>
        <v>-3568406.5728153456</v>
      </c>
      <c r="G103" s="93"/>
      <c r="H103" s="111">
        <f>F103</f>
        <v>-3568406.5728153456</v>
      </c>
      <c r="I103" s="93"/>
      <c r="J103" s="111"/>
      <c r="K103" s="111"/>
      <c r="L103" s="93"/>
      <c r="M103" s="111"/>
      <c r="N103" s="111"/>
    </row>
    <row r="104" spans="1:14" s="16" customFormat="1">
      <c r="A104" s="284"/>
      <c r="B104" s="284"/>
      <c r="D104" s="93"/>
      <c r="E104" s="93"/>
      <c r="F104" s="108"/>
      <c r="G104" s="93"/>
      <c r="H104" s="115">
        <f>SUM(H99:H103)</f>
        <v>-764314924.48919916</v>
      </c>
      <c r="I104" s="93"/>
      <c r="J104" s="93"/>
      <c r="K104" s="114">
        <f>SUM(K99:K102)</f>
        <v>-1168805.8658212158</v>
      </c>
      <c r="L104" s="93"/>
      <c r="M104" s="93"/>
      <c r="N104" s="114">
        <f>SUM(N99:N102)</f>
        <v>-2742895.1656159377</v>
      </c>
    </row>
    <row r="105" spans="1:14">
      <c r="A105" s="284"/>
      <c r="B105" s="284"/>
    </row>
    <row r="106" spans="1:14">
      <c r="A106" s="17"/>
      <c r="B106" s="17"/>
      <c r="D106" s="116"/>
      <c r="E106" s="116"/>
      <c r="F106" s="116"/>
      <c r="G106" s="93"/>
      <c r="H106" s="116"/>
      <c r="I106" s="93"/>
      <c r="J106" s="116"/>
      <c r="K106" s="117"/>
      <c r="L106" s="93"/>
      <c r="M106" s="116"/>
      <c r="N106" s="116"/>
    </row>
    <row r="107" spans="1:14" ht="13">
      <c r="A107" s="869" t="s">
        <v>1629</v>
      </c>
      <c r="B107" s="869"/>
      <c r="D107" s="862" t="s">
        <v>231</v>
      </c>
      <c r="E107" s="862"/>
      <c r="F107" s="862"/>
      <c r="G107" s="93"/>
      <c r="H107" s="105" t="s">
        <v>231</v>
      </c>
      <c r="I107" s="93"/>
      <c r="J107" s="862" t="s">
        <v>231</v>
      </c>
      <c r="K107" s="862"/>
      <c r="L107" s="93"/>
      <c r="M107" s="862" t="s">
        <v>231</v>
      </c>
      <c r="N107" s="862"/>
    </row>
    <row r="108" spans="1:14" ht="13">
      <c r="A108" s="869">
        <f>A89</f>
        <v>2019</v>
      </c>
      <c r="B108" s="869"/>
      <c r="D108" s="862" t="s">
        <v>213</v>
      </c>
      <c r="E108" s="862"/>
      <c r="F108" s="862"/>
      <c r="G108" s="93"/>
      <c r="H108" s="105" t="s">
        <v>214</v>
      </c>
      <c r="I108" s="93"/>
      <c r="J108" s="862" t="s">
        <v>215</v>
      </c>
      <c r="K108" s="862"/>
      <c r="L108" s="93"/>
      <c r="M108" s="862" t="s">
        <v>216</v>
      </c>
      <c r="N108" s="862"/>
    </row>
    <row r="109" spans="1:14" s="13" customFormat="1" ht="42.75" customHeight="1">
      <c r="A109" s="297"/>
      <c r="B109" s="298" t="s">
        <v>341</v>
      </c>
      <c r="D109" s="107" t="s">
        <v>217</v>
      </c>
      <c r="E109" s="107" t="s">
        <v>218</v>
      </c>
      <c r="F109" s="107" t="str">
        <f>F16</f>
        <v>Heat Input from GIS certificates (MMBtu)</v>
      </c>
      <c r="G109" s="93"/>
      <c r="H109" s="92" t="s">
        <v>339</v>
      </c>
      <c r="I109" s="106"/>
      <c r="J109" s="90" t="s">
        <v>340</v>
      </c>
      <c r="K109" s="91" t="s">
        <v>341</v>
      </c>
      <c r="L109" s="106"/>
      <c r="M109" s="90" t="s">
        <v>342</v>
      </c>
      <c r="N109" s="91" t="s">
        <v>341</v>
      </c>
    </row>
    <row r="110" spans="1:14" ht="13">
      <c r="A110" s="299" t="s">
        <v>220</v>
      </c>
      <c r="B110" s="300">
        <f>SUM(B111:B115)</f>
        <v>5589935.2283563018</v>
      </c>
      <c r="D110" s="90" t="s">
        <v>221</v>
      </c>
      <c r="E110" s="90"/>
      <c r="F110" s="90"/>
      <c r="G110" s="93"/>
      <c r="H110" s="93"/>
      <c r="I110" s="93"/>
      <c r="J110" s="106"/>
      <c r="K110" s="106"/>
      <c r="L110" s="93"/>
      <c r="M110" s="106"/>
      <c r="N110" s="106"/>
    </row>
    <row r="111" spans="1:14">
      <c r="A111" s="284" t="s">
        <v>1471</v>
      </c>
      <c r="B111" s="301">
        <f>H114</f>
        <v>0</v>
      </c>
      <c r="D111" s="109" t="s">
        <v>389</v>
      </c>
      <c r="E111" s="134" t="s">
        <v>48</v>
      </c>
      <c r="F111" s="135">
        <f>'GIS Heat Input'!H64</f>
        <v>0</v>
      </c>
      <c r="G111" s="93"/>
      <c r="H111" s="111">
        <f>F111*'GWPs &amp; Fuel EFs'!$N$7</f>
        <v>0</v>
      </c>
      <c r="I111" s="93"/>
      <c r="J111" s="111">
        <f>F111*'GWPs &amp; Fuel EFs'!$M$35</f>
        <v>0</v>
      </c>
      <c r="K111" s="111">
        <f>J111*'GWPs &amp; Fuel EFs'!$D$11</f>
        <v>0</v>
      </c>
      <c r="L111" s="93"/>
      <c r="M111" s="111">
        <f>F111*'GWPs &amp; Fuel EFs'!$M$63</f>
        <v>0</v>
      </c>
      <c r="N111" s="111">
        <f>M111*'GWPs &amp; Fuel EFs'!$E$11</f>
        <v>0</v>
      </c>
    </row>
    <row r="112" spans="1:14">
      <c r="A112" s="284" t="s">
        <v>222</v>
      </c>
      <c r="B112" s="301">
        <f>K114</f>
        <v>0</v>
      </c>
      <c r="D112" s="109" t="s">
        <v>388</v>
      </c>
      <c r="E112" s="134" t="s">
        <v>41</v>
      </c>
      <c r="F112" s="135">
        <f>'GIS Heat Input'!H65</f>
        <v>0</v>
      </c>
      <c r="G112" s="93"/>
      <c r="H112" s="111">
        <f>F112*'GWPs &amp; Fuel EFs'!$N$8</f>
        <v>0</v>
      </c>
      <c r="I112" s="93"/>
      <c r="J112" s="111">
        <f>F112*'GWPs &amp; Fuel EFs'!$M$36</f>
        <v>0</v>
      </c>
      <c r="K112" s="111">
        <f>J112*'GWPs &amp; Fuel EFs'!$D$11</f>
        <v>0</v>
      </c>
      <c r="L112" s="93"/>
      <c r="M112" s="111">
        <f>F112*'GWPs &amp; Fuel EFs'!$M$64</f>
        <v>0</v>
      </c>
      <c r="N112" s="111">
        <f>M112*'GWPs &amp; Fuel EFs'!$E$11</f>
        <v>0</v>
      </c>
    </row>
    <row r="113" spans="1:14">
      <c r="A113" s="284" t="s">
        <v>223</v>
      </c>
      <c r="B113" s="301">
        <f>N114</f>
        <v>0</v>
      </c>
      <c r="D113" s="109" t="s">
        <v>402</v>
      </c>
      <c r="E113" s="134" t="s">
        <v>19</v>
      </c>
      <c r="F113" s="135">
        <f>'GIS Heat Input'!H66</f>
        <v>0</v>
      </c>
      <c r="G113" s="93"/>
      <c r="H113" s="111">
        <f>F113*'GWPs &amp; Fuel EFs'!$N$9</f>
        <v>0</v>
      </c>
      <c r="I113" s="93"/>
      <c r="J113" s="111">
        <f>F113*'GWPs &amp; Fuel EFs'!$M$37</f>
        <v>0</v>
      </c>
      <c r="K113" s="111">
        <f>J113*'GWPs &amp; Fuel EFs'!$D$11</f>
        <v>0</v>
      </c>
      <c r="L113" s="93"/>
      <c r="M113" s="111">
        <f>F113*'GWPs &amp; Fuel EFs'!$M$65</f>
        <v>0</v>
      </c>
      <c r="N113" s="111">
        <f>M113*'GWPs &amp; Fuel EFs'!$E$11</f>
        <v>0</v>
      </c>
    </row>
    <row r="114" spans="1:14">
      <c r="A114" s="284" t="s">
        <v>224</v>
      </c>
      <c r="B114" s="301">
        <f>K122</f>
        <v>820575.87232931808</v>
      </c>
      <c r="D114" s="109"/>
      <c r="E114" s="93"/>
      <c r="F114" s="108"/>
      <c r="G114" s="93"/>
      <c r="H114" s="114">
        <f>SUM(H111:H113)</f>
        <v>0</v>
      </c>
      <c r="I114" s="93"/>
      <c r="J114" s="111"/>
      <c r="K114" s="114">
        <f>SUM(K111:K113)</f>
        <v>0</v>
      </c>
      <c r="L114" s="93"/>
      <c r="M114" s="111"/>
      <c r="N114" s="114">
        <f>SUM(N111:N113)</f>
        <v>0</v>
      </c>
    </row>
    <row r="115" spans="1:14">
      <c r="A115" s="284" t="s">
        <v>225</v>
      </c>
      <c r="B115" s="301">
        <f>N122</f>
        <v>4769359.3560269838</v>
      </c>
    </row>
    <row r="116" spans="1:14">
      <c r="A116" s="284"/>
      <c r="B116" s="284"/>
    </row>
    <row r="117" spans="1:14" ht="13">
      <c r="A117" s="302" t="s">
        <v>226</v>
      </c>
      <c r="B117" s="300">
        <f>H122</f>
        <v>431966517.86674559</v>
      </c>
      <c r="D117" s="90" t="s">
        <v>227</v>
      </c>
      <c r="E117" s="93"/>
      <c r="F117" s="108"/>
      <c r="G117" s="93"/>
      <c r="H117" s="114"/>
      <c r="I117" s="93"/>
      <c r="J117" s="111"/>
      <c r="K117" s="114"/>
      <c r="L117" s="93"/>
      <c r="M117" s="111"/>
      <c r="N117" s="114"/>
    </row>
    <row r="118" spans="1:14">
      <c r="A118" s="284"/>
      <c r="B118" s="303"/>
      <c r="D118" s="112" t="s">
        <v>396</v>
      </c>
      <c r="E118" s="134" t="s">
        <v>65</v>
      </c>
      <c r="F118" s="135">
        <f>'GIS Heat Input'!H68</f>
        <v>79910.811922236535</v>
      </c>
      <c r="G118" s="93"/>
      <c r="H118" s="111">
        <f>F118*'GWPs &amp; Fuel EFs'!$N$20</f>
        <v>9173337.6672573164</v>
      </c>
      <c r="I118" s="93"/>
      <c r="J118" s="111">
        <f>F118*'GWPs &amp; Fuel EFs'!$M$48</f>
        <v>563.75418734825075</v>
      </c>
      <c r="K118" s="111">
        <f>J118*'GWPs &amp; Fuel EFs'!$D$11</f>
        <v>14093.854683706269</v>
      </c>
      <c r="L118" s="93"/>
      <c r="M118" s="111">
        <f>F118*'GWPs &amp; Fuel EFs'!$M$76</f>
        <v>110.98910563418686</v>
      </c>
      <c r="N118" s="111">
        <f>M118*'GWPs &amp; Fuel EFs'!$E$11</f>
        <v>33074.753478987681</v>
      </c>
    </row>
    <row r="119" spans="1:14">
      <c r="A119" s="284"/>
      <c r="B119" s="284"/>
      <c r="D119" s="112" t="s">
        <v>399</v>
      </c>
      <c r="E119" s="134" t="s">
        <v>18</v>
      </c>
      <c r="F119" s="135">
        <f>'GIS Heat Input'!H69</f>
        <v>0</v>
      </c>
      <c r="G119" s="93"/>
      <c r="H119" s="111">
        <f>F119*'GWPs &amp; Fuel EFs'!$N$21</f>
        <v>0</v>
      </c>
      <c r="I119" s="93"/>
      <c r="J119" s="111">
        <f>F119*'GWPs &amp; Fuel EFs'!$M$49</f>
        <v>0</v>
      </c>
      <c r="K119" s="111">
        <f>J119*'GWPs &amp; Fuel EFs'!$D$11</f>
        <v>0</v>
      </c>
      <c r="L119" s="93"/>
      <c r="M119" s="111">
        <f>F119*'GWPs &amp; Fuel EFs'!$M$77</f>
        <v>0</v>
      </c>
      <c r="N119" s="111">
        <f>M119*'GWPs &amp; Fuel EFs'!$E$11</f>
        <v>0</v>
      </c>
    </row>
    <row r="120" spans="1:14">
      <c r="A120" s="284"/>
      <c r="B120" s="284"/>
      <c r="D120" s="112" t="s">
        <v>404</v>
      </c>
      <c r="E120" s="134" t="s">
        <v>71</v>
      </c>
      <c r="F120" s="135">
        <f>'GIS Heat Input'!H70</f>
        <v>1983238.1494559392</v>
      </c>
      <c r="G120" s="93"/>
      <c r="H120" s="111">
        <f>F120*'GWPs &amp; Fuel EFs'!$N$23</f>
        <v>410120960.06589788</v>
      </c>
      <c r="I120" s="93"/>
      <c r="J120" s="111">
        <f>F120*'GWPs &amp; Fuel EFs'!$M$51</f>
        <v>31480.50013299003</v>
      </c>
      <c r="K120" s="111">
        <f>J120*'GWPs &amp; Fuel EFs'!$D$11</f>
        <v>787012.50332475069</v>
      </c>
      <c r="L120" s="93"/>
      <c r="M120" s="111">
        <f>F120*'GWPs &amp; Fuel EFs'!$M$79</f>
        <v>15740.250066495015</v>
      </c>
      <c r="N120" s="111">
        <f>M120*'GWPs &amp; Fuel EFs'!$E$11</f>
        <v>4690594.5198155148</v>
      </c>
    </row>
    <row r="121" spans="1:14" s="16" customFormat="1">
      <c r="A121" s="284"/>
      <c r="B121" s="284"/>
      <c r="D121" s="120" t="s">
        <v>2425</v>
      </c>
      <c r="E121" s="134" t="s">
        <v>70</v>
      </c>
      <c r="F121" s="135">
        <f>'GIS Heat Input'!H71</f>
        <v>110390.28938692597</v>
      </c>
      <c r="G121" s="93"/>
      <c r="H121" s="111">
        <f>F121*'GWPs &amp; Fuel EFs'!$N$27</f>
        <v>12672220.133590424</v>
      </c>
      <c r="I121" s="93"/>
      <c r="J121" s="111">
        <f>F121*'GWPs &amp; Fuel EFs'!$M$55</f>
        <v>778.78057283444139</v>
      </c>
      <c r="K121" s="111">
        <f>J121*'GWPs &amp; Fuel EFs'!$D$11</f>
        <v>19469.514320861035</v>
      </c>
      <c r="L121" s="93"/>
      <c r="M121" s="111">
        <f>F121*'GWPs &amp; Fuel EFs'!$M$83</f>
        <v>153.32242527678065</v>
      </c>
      <c r="N121" s="111">
        <f>M121*'GWPs &amp; Fuel EFs'!$E$11</f>
        <v>45690.082732480631</v>
      </c>
    </row>
    <row r="122" spans="1:14">
      <c r="A122" s="284"/>
      <c r="B122" s="303"/>
      <c r="D122" s="93"/>
      <c r="E122" s="93"/>
      <c r="F122" s="108"/>
      <c r="G122" s="93"/>
      <c r="H122" s="115">
        <f>SUM(H118:H121)</f>
        <v>431966517.86674559</v>
      </c>
      <c r="I122" s="93"/>
      <c r="J122" s="93"/>
      <c r="K122" s="114">
        <f>SUM(K118:K121)</f>
        <v>820575.87232931808</v>
      </c>
      <c r="L122" s="93"/>
      <c r="M122" s="93"/>
      <c r="N122" s="114">
        <f>SUM(N118:N121)</f>
        <v>4769359.3560269838</v>
      </c>
    </row>
    <row r="123" spans="1:14">
      <c r="A123" s="284"/>
      <c r="B123" s="284"/>
    </row>
    <row r="124" spans="1:14">
      <c r="A124" s="17"/>
      <c r="B124" s="17"/>
      <c r="D124" s="116"/>
      <c r="E124" s="116"/>
      <c r="F124" s="116"/>
      <c r="G124" s="93"/>
      <c r="H124" s="116"/>
      <c r="I124" s="93"/>
      <c r="J124" s="116"/>
      <c r="K124" s="116"/>
      <c r="L124" s="93"/>
      <c r="M124" s="116"/>
      <c r="N124" s="116"/>
    </row>
    <row r="125" spans="1:14" ht="13">
      <c r="A125" s="869" t="s">
        <v>1630</v>
      </c>
      <c r="B125" s="869"/>
      <c r="D125" s="862" t="s">
        <v>230</v>
      </c>
      <c r="E125" s="862"/>
      <c r="F125" s="862"/>
      <c r="G125" s="93"/>
      <c r="H125" s="105" t="s">
        <v>230</v>
      </c>
      <c r="I125" s="93"/>
      <c r="J125" s="862" t="s">
        <v>230</v>
      </c>
      <c r="K125" s="862"/>
      <c r="L125" s="93"/>
      <c r="M125" s="862" t="s">
        <v>230</v>
      </c>
      <c r="N125" s="862"/>
    </row>
    <row r="126" spans="1:14" ht="13">
      <c r="A126" s="869">
        <f>A108</f>
        <v>2019</v>
      </c>
      <c r="B126" s="869"/>
      <c r="C126" s="18"/>
      <c r="D126" s="862" t="s">
        <v>213</v>
      </c>
      <c r="E126" s="862"/>
      <c r="F126" s="862"/>
      <c r="G126" s="93"/>
      <c r="H126" s="105" t="s">
        <v>214</v>
      </c>
      <c r="I126" s="93"/>
      <c r="J126" s="862" t="s">
        <v>215</v>
      </c>
      <c r="K126" s="862"/>
      <c r="L126" s="93"/>
      <c r="M126" s="862" t="s">
        <v>216</v>
      </c>
      <c r="N126" s="862"/>
    </row>
    <row r="127" spans="1:14" s="13" customFormat="1" ht="42.75" customHeight="1">
      <c r="A127" s="297"/>
      <c r="B127" s="298" t="s">
        <v>341</v>
      </c>
      <c r="D127" s="107" t="s">
        <v>217</v>
      </c>
      <c r="E127" s="107" t="s">
        <v>218</v>
      </c>
      <c r="F127" s="107" t="str">
        <f>F16</f>
        <v>Heat Input from GIS certificates (MMBtu)</v>
      </c>
      <c r="G127" s="93"/>
      <c r="H127" s="92" t="s">
        <v>339</v>
      </c>
      <c r="I127" s="106"/>
      <c r="J127" s="90" t="s">
        <v>340</v>
      </c>
      <c r="K127" s="91" t="s">
        <v>341</v>
      </c>
      <c r="L127" s="106"/>
      <c r="M127" s="90" t="s">
        <v>342</v>
      </c>
      <c r="N127" s="91" t="s">
        <v>341</v>
      </c>
    </row>
    <row r="128" spans="1:14" ht="12.75" customHeight="1">
      <c r="A128" s="299" t="s">
        <v>220</v>
      </c>
      <c r="B128" s="300">
        <f>SUM(B129:B133)+F132+F133</f>
        <v>34392378.091247052</v>
      </c>
      <c r="C128" s="18"/>
      <c r="D128" s="90" t="s">
        <v>221</v>
      </c>
      <c r="E128" s="90"/>
      <c r="F128" s="90"/>
      <c r="G128" s="93"/>
      <c r="H128" s="93"/>
      <c r="I128" s="93"/>
      <c r="J128" s="106"/>
      <c r="K128" s="106"/>
      <c r="L128" s="93"/>
      <c r="M128" s="106"/>
      <c r="N128" s="106"/>
    </row>
    <row r="129" spans="1:14">
      <c r="A129" s="284" t="s">
        <v>1471</v>
      </c>
      <c r="B129" s="301">
        <f>H133</f>
        <v>0</v>
      </c>
      <c r="C129" s="18"/>
      <c r="D129" s="109" t="s">
        <v>389</v>
      </c>
      <c r="E129" s="134" t="s">
        <v>48</v>
      </c>
      <c r="F129" s="135">
        <f>'GIS Heat Input'!H76</f>
        <v>0</v>
      </c>
      <c r="G129" s="93"/>
      <c r="H129" s="111">
        <f>F129*'GWPs &amp; Fuel EFs'!$N$7</f>
        <v>0</v>
      </c>
      <c r="I129" s="93"/>
      <c r="J129" s="111">
        <f>F129*'GWPs &amp; Fuel EFs'!$M$35</f>
        <v>0</v>
      </c>
      <c r="K129" s="111">
        <f>J129*'GWPs &amp; Fuel EFs'!$D$11</f>
        <v>0</v>
      </c>
      <c r="L129" s="93"/>
      <c r="M129" s="111">
        <f>F129*'GWPs &amp; Fuel EFs'!$M$63</f>
        <v>0</v>
      </c>
      <c r="N129" s="111">
        <f>M129*'GWPs &amp; Fuel EFs'!$E$11</f>
        <v>0</v>
      </c>
    </row>
    <row r="130" spans="1:14">
      <c r="A130" s="284" t="s">
        <v>222</v>
      </c>
      <c r="B130" s="301">
        <f>K133</f>
        <v>0</v>
      </c>
      <c r="C130" s="18"/>
      <c r="D130" s="109" t="s">
        <v>388</v>
      </c>
      <c r="E130" s="134" t="s">
        <v>41</v>
      </c>
      <c r="F130" s="135">
        <f>'GIS Heat Input'!H77</f>
        <v>0</v>
      </c>
      <c r="G130" s="93"/>
      <c r="H130" s="111">
        <f>F130*'GWPs &amp; Fuel EFs'!$N$8</f>
        <v>0</v>
      </c>
      <c r="I130" s="93"/>
      <c r="J130" s="111">
        <f>F130*'GWPs &amp; Fuel EFs'!$M$36</f>
        <v>0</v>
      </c>
      <c r="K130" s="111">
        <f>J130*'GWPs &amp; Fuel EFs'!$D$11</f>
        <v>0</v>
      </c>
      <c r="L130" s="93"/>
      <c r="M130" s="111">
        <f>F130*'GWPs &amp; Fuel EFs'!$M$64</f>
        <v>0</v>
      </c>
      <c r="N130" s="111">
        <f>M130*'GWPs &amp; Fuel EFs'!$E$11</f>
        <v>0</v>
      </c>
    </row>
    <row r="131" spans="1:14">
      <c r="A131" s="284" t="s">
        <v>223</v>
      </c>
      <c r="B131" s="301">
        <f>N133</f>
        <v>0</v>
      </c>
      <c r="C131" s="18"/>
      <c r="D131" s="109" t="s">
        <v>402</v>
      </c>
      <c r="E131" s="134" t="s">
        <v>19</v>
      </c>
      <c r="F131" s="135">
        <f>'GIS Heat Input'!H78</f>
        <v>0</v>
      </c>
      <c r="G131" s="93"/>
      <c r="H131" s="111">
        <f>F131*'GWPs &amp; Fuel EFs'!$N$9</f>
        <v>0</v>
      </c>
      <c r="I131" s="93"/>
      <c r="J131" s="111">
        <f>F131*'GWPs &amp; Fuel EFs'!$M$37</f>
        <v>0</v>
      </c>
      <c r="K131" s="111">
        <f>J131*'GWPs &amp; Fuel EFs'!$D$11</f>
        <v>0</v>
      </c>
      <c r="L131" s="93"/>
      <c r="M131" s="111">
        <f>F131*'GWPs &amp; Fuel EFs'!$M$65</f>
        <v>0</v>
      </c>
      <c r="N131" s="111">
        <f>M131*'GWPs &amp; Fuel EFs'!$E$11</f>
        <v>0</v>
      </c>
    </row>
    <row r="132" spans="1:14">
      <c r="A132" s="284" t="s">
        <v>224</v>
      </c>
      <c r="B132" s="301">
        <f>K142</f>
        <v>-2288197.4500829824</v>
      </c>
      <c r="C132" s="18"/>
      <c r="D132" s="193" t="s">
        <v>2430</v>
      </c>
      <c r="E132" s="194" t="s">
        <v>2429</v>
      </c>
      <c r="F132" s="227">
        <f>GIS!AH238*'State &amp; Province Summary'!H35</f>
        <v>42113503.220524319</v>
      </c>
      <c r="G132" s="93"/>
      <c r="H132" s="114"/>
      <c r="I132" s="93"/>
      <c r="J132" s="111"/>
      <c r="K132" s="114"/>
      <c r="L132" s="93"/>
      <c r="M132" s="111"/>
      <c r="N132" s="114"/>
    </row>
    <row r="133" spans="1:14">
      <c r="A133" s="284" t="s">
        <v>225</v>
      </c>
      <c r="B133" s="301">
        <f>N142</f>
        <v>-13346086.886280375</v>
      </c>
      <c r="C133" s="18"/>
      <c r="D133" s="193" t="s">
        <v>2427</v>
      </c>
      <c r="E133" s="194" t="s">
        <v>2429</v>
      </c>
      <c r="F133" s="227">
        <f>GIS!AH290*'State &amp; Province Summary'!H41</f>
        <v>7913159.20708609</v>
      </c>
      <c r="G133" s="93"/>
      <c r="H133" s="114">
        <f>SUM(H129:H131)</f>
        <v>0</v>
      </c>
      <c r="I133" s="93"/>
      <c r="J133" s="111"/>
      <c r="K133" s="114">
        <f>SUM(K129:K131)</f>
        <v>0</v>
      </c>
      <c r="L133" s="93"/>
      <c r="M133" s="111"/>
      <c r="N133" s="114">
        <f>SUM(N129:N131)</f>
        <v>0</v>
      </c>
    </row>
    <row r="134" spans="1:14">
      <c r="A134" s="284"/>
      <c r="B134" s="284"/>
      <c r="C134" s="18"/>
    </row>
    <row r="135" spans="1:14" ht="13">
      <c r="A135" s="302" t="s">
        <v>226</v>
      </c>
      <c r="B135" s="300">
        <f>H142</f>
        <v>-1154883042.3123338</v>
      </c>
      <c r="C135" s="18"/>
      <c r="D135" s="90" t="s">
        <v>227</v>
      </c>
      <c r="E135" s="93"/>
      <c r="F135" s="108"/>
      <c r="G135" s="93"/>
      <c r="H135" s="114"/>
      <c r="I135" s="93"/>
      <c r="J135" s="111"/>
      <c r="K135" s="114"/>
      <c r="L135" s="93"/>
      <c r="M135" s="111"/>
      <c r="N135" s="114"/>
    </row>
    <row r="136" spans="1:14">
      <c r="A136" s="284"/>
      <c r="B136" s="303"/>
      <c r="C136" s="18"/>
      <c r="D136" s="112" t="s">
        <v>396</v>
      </c>
      <c r="E136" s="134" t="s">
        <v>65</v>
      </c>
      <c r="F136" s="135">
        <f>'GIS Heat Input'!H80</f>
        <v>-457530.92585348233</v>
      </c>
      <c r="G136" s="93"/>
      <c r="H136" s="111">
        <f>F136*'GWPs &amp; Fuel EFs'!$N$20</f>
        <v>-52522125.293272786</v>
      </c>
      <c r="I136" s="93"/>
      <c r="J136" s="111">
        <f>F136*'GWPs &amp; Fuel EFs'!$M$48</f>
        <v>-3227.785691155616</v>
      </c>
      <c r="K136" s="111">
        <f>J136*'GWPs &amp; Fuel EFs'!$D$11</f>
        <v>-80694.642278890402</v>
      </c>
      <c r="L136" s="93"/>
      <c r="M136" s="111">
        <f>F136*'GWPs &amp; Fuel EFs'!$M$76</f>
        <v>-635.47030794626187</v>
      </c>
      <c r="N136" s="111">
        <f>M136*'GWPs &amp; Fuel EFs'!$E$11</f>
        <v>-189370.15176798604</v>
      </c>
    </row>
    <row r="137" spans="1:14">
      <c r="A137" s="284"/>
      <c r="B137" s="284"/>
      <c r="C137" s="18"/>
      <c r="D137" s="112" t="s">
        <v>399</v>
      </c>
      <c r="E137" s="134" t="s">
        <v>18</v>
      </c>
      <c r="F137" s="135">
        <f>'GIS Heat Input'!H81</f>
        <v>0</v>
      </c>
      <c r="G137" s="93"/>
      <c r="H137" s="111">
        <f>F137*'GWPs &amp; Fuel EFs'!$N$21</f>
        <v>0</v>
      </c>
      <c r="I137" s="93"/>
      <c r="J137" s="111">
        <f>F137*'GWPs &amp; Fuel EFs'!$M$49</f>
        <v>0</v>
      </c>
      <c r="K137" s="111">
        <f>J137*'GWPs &amp; Fuel EFs'!$D$11</f>
        <v>0</v>
      </c>
      <c r="L137" s="93"/>
      <c r="M137" s="111">
        <f>F137*'GWPs &amp; Fuel EFs'!$M$77</f>
        <v>0</v>
      </c>
      <c r="N137" s="111">
        <f>M137*'GWPs &amp; Fuel EFs'!$E$11</f>
        <v>0</v>
      </c>
    </row>
    <row r="138" spans="1:14">
      <c r="A138" s="284"/>
      <c r="B138" s="284"/>
      <c r="C138" s="18"/>
      <c r="D138" s="112" t="s">
        <v>404</v>
      </c>
      <c r="E138" s="134" t="s">
        <v>71</v>
      </c>
      <c r="F138" s="135">
        <f>'GIS Heat Input'!H82</f>
        <v>-5562813.5067399936</v>
      </c>
      <c r="G138" s="93"/>
      <c r="H138" s="111">
        <f>F138*'GWPs &amp; Fuel EFs'!$N$23</f>
        <v>-1150354240.955688</v>
      </c>
      <c r="I138" s="93"/>
      <c r="J138" s="111">
        <f>F138*'GWPs &amp; Fuel EFs'!$M$51</f>
        <v>-88300.112312163677</v>
      </c>
      <c r="K138" s="111">
        <f>J138*'GWPs &amp; Fuel EFs'!$D$11</f>
        <v>-2207502.8078040918</v>
      </c>
      <c r="L138" s="93"/>
      <c r="M138" s="111">
        <f>F138*'GWPs &amp; Fuel EFs'!$M$79</f>
        <v>-44150.056156081839</v>
      </c>
      <c r="N138" s="111">
        <f>M138*'GWPs &amp; Fuel EFs'!$E$11</f>
        <v>-13156716.734512389</v>
      </c>
    </row>
    <row r="139" spans="1:14">
      <c r="A139" s="284"/>
      <c r="B139" s="301"/>
      <c r="C139" s="18"/>
      <c r="D139" s="120" t="s">
        <v>2425</v>
      </c>
      <c r="E139" s="134" t="s">
        <v>70</v>
      </c>
      <c r="F139" s="135">
        <f>'GIS Heat Input'!H83</f>
        <v>-3148.3878248047786</v>
      </c>
      <c r="G139" s="93"/>
      <c r="H139" s="111">
        <f>F139*'GWPs &amp; Fuel EFs'!$N$27</f>
        <v>-361418.23527611181</v>
      </c>
      <c r="I139" s="93"/>
      <c r="J139" s="111">
        <f>F139*'GWPs &amp; Fuel EFs'!$M$55</f>
        <v>-22.21122244831108</v>
      </c>
      <c r="K139" s="111">
        <f>J139*'GWPs &amp; Fuel EFs'!$D$11</f>
        <v>-555.28056120777705</v>
      </c>
      <c r="L139" s="93"/>
      <c r="M139" s="111">
        <f>F139*'GWPs &amp; Fuel EFs'!$M$83</f>
        <v>-4.3728344195112436</v>
      </c>
      <c r="N139" s="111">
        <f>M139*'GWPs &amp; Fuel EFs'!$E$11</f>
        <v>-1303.1046570143506</v>
      </c>
    </row>
    <row r="140" spans="1:14">
      <c r="A140" s="284"/>
      <c r="B140" s="301"/>
      <c r="C140" s="18"/>
      <c r="D140" s="193" t="s">
        <v>2430</v>
      </c>
      <c r="E140" s="194" t="s">
        <v>2691</v>
      </c>
      <c r="F140" s="204">
        <f>GIS!AH238*'State &amp; Province Summary'!H36</f>
        <v>3568406.5728153456</v>
      </c>
      <c r="G140" s="93"/>
      <c r="H140" s="111">
        <f>F140</f>
        <v>3568406.5728153456</v>
      </c>
      <c r="I140" s="93"/>
      <c r="J140" s="111"/>
      <c r="K140" s="111"/>
      <c r="L140" s="93"/>
      <c r="M140" s="111"/>
      <c r="N140" s="111"/>
    </row>
    <row r="141" spans="1:14">
      <c r="A141" s="284"/>
      <c r="B141" s="301"/>
      <c r="C141" s="18"/>
      <c r="D141" s="193" t="s">
        <v>2427</v>
      </c>
      <c r="E141" s="194" t="s">
        <v>2691</v>
      </c>
      <c r="F141" s="204">
        <f>GIS!AH290*'State &amp; Province Summary'!H42</f>
        <v>44786335.599087715</v>
      </c>
      <c r="G141" s="93"/>
      <c r="H141" s="111">
        <f>F141</f>
        <v>44786335.599087715</v>
      </c>
      <c r="I141" s="93"/>
      <c r="J141" s="111"/>
      <c r="K141" s="111"/>
      <c r="L141" s="93"/>
      <c r="M141" s="111"/>
      <c r="N141" s="111"/>
    </row>
    <row r="142" spans="1:14">
      <c r="A142" s="284"/>
      <c r="B142" s="301"/>
      <c r="C142" s="18"/>
      <c r="D142" s="93"/>
      <c r="E142" s="93"/>
      <c r="F142" s="93"/>
      <c r="G142" s="93"/>
      <c r="H142" s="115">
        <f>SUM(H136:H141)</f>
        <v>-1154883042.3123338</v>
      </c>
      <c r="I142" s="93"/>
      <c r="J142" s="111"/>
      <c r="K142" s="114">
        <f>SUM(K136:K138)</f>
        <v>-2288197.4500829824</v>
      </c>
      <c r="L142" s="93"/>
      <c r="M142" s="111"/>
      <c r="N142" s="114">
        <f>SUM(N136:N138)</f>
        <v>-13346086.886280375</v>
      </c>
    </row>
    <row r="143" spans="1:14">
      <c r="A143" s="284"/>
      <c r="B143" s="284"/>
      <c r="C143" s="18"/>
    </row>
    <row r="144" spans="1:14">
      <c r="A144" s="17"/>
      <c r="B144" s="17"/>
      <c r="D144" s="116"/>
      <c r="E144" s="116"/>
      <c r="F144" s="116"/>
      <c r="G144" s="93"/>
      <c r="H144" s="116"/>
      <c r="I144" s="93"/>
      <c r="J144" s="116"/>
      <c r="K144" s="116"/>
      <c r="L144" s="93"/>
      <c r="M144" s="116"/>
      <c r="N144" s="116"/>
    </row>
    <row r="145" spans="1:14" ht="13">
      <c r="A145" s="869" t="s">
        <v>1631</v>
      </c>
      <c r="B145" s="869"/>
      <c r="D145" s="862" t="s">
        <v>234</v>
      </c>
      <c r="E145" s="862"/>
      <c r="F145" s="862"/>
      <c r="G145" s="93"/>
      <c r="H145" s="105" t="s">
        <v>234</v>
      </c>
      <c r="I145" s="93"/>
      <c r="J145" s="862" t="s">
        <v>234</v>
      </c>
      <c r="K145" s="862"/>
      <c r="L145" s="93"/>
      <c r="M145" s="862" t="s">
        <v>234</v>
      </c>
      <c r="N145" s="862"/>
    </row>
    <row r="146" spans="1:14" ht="13">
      <c r="A146" s="869">
        <f>A126</f>
        <v>2019</v>
      </c>
      <c r="B146" s="869"/>
      <c r="D146" s="862"/>
      <c r="E146" s="862"/>
      <c r="F146" s="862"/>
      <c r="G146" s="93"/>
      <c r="H146" s="105" t="s">
        <v>214</v>
      </c>
      <c r="I146" s="93"/>
      <c r="J146" s="862" t="s">
        <v>215</v>
      </c>
      <c r="K146" s="862"/>
      <c r="L146" s="93"/>
      <c r="M146" s="862" t="s">
        <v>216</v>
      </c>
      <c r="N146" s="862"/>
    </row>
    <row r="147" spans="1:14" s="13" customFormat="1" ht="42.75" customHeight="1">
      <c r="A147" s="297"/>
      <c r="B147" s="298" t="s">
        <v>341</v>
      </c>
      <c r="D147" s="107" t="s">
        <v>217</v>
      </c>
      <c r="E147" s="107" t="s">
        <v>2428</v>
      </c>
      <c r="F147" s="91" t="str">
        <f>F16</f>
        <v>Heat Input from GIS certificates (MMBtu)</v>
      </c>
      <c r="G147" s="93"/>
      <c r="H147" s="92" t="s">
        <v>339</v>
      </c>
      <c r="I147" s="106"/>
      <c r="J147" s="90" t="s">
        <v>340</v>
      </c>
      <c r="K147" s="91" t="s">
        <v>341</v>
      </c>
      <c r="L147" s="40"/>
      <c r="M147" s="90" t="s">
        <v>342</v>
      </c>
      <c r="N147" s="91" t="s">
        <v>341</v>
      </c>
    </row>
    <row r="148" spans="1:14" s="16" customFormat="1" ht="12.75" customHeight="1">
      <c r="A148" s="299" t="s">
        <v>220</v>
      </c>
      <c r="B148" s="300">
        <f>SUM(B149:B150)+F149</f>
        <v>-11552555.823374577</v>
      </c>
      <c r="D148" s="91" t="s">
        <v>221</v>
      </c>
      <c r="E148" s="123"/>
      <c r="F148" s="133"/>
      <c r="G148" s="119"/>
      <c r="H148" s="119"/>
      <c r="I148" s="119"/>
      <c r="J148" s="122"/>
      <c r="K148" s="122"/>
      <c r="L148" s="40"/>
      <c r="M148" s="122"/>
      <c r="N148" s="122"/>
    </row>
    <row r="149" spans="1:14" s="16" customFormat="1" ht="12.75" customHeight="1">
      <c r="A149" s="284" t="s">
        <v>224</v>
      </c>
      <c r="B149" s="301">
        <f>K154</f>
        <v>-576519.7925843182</v>
      </c>
      <c r="D149" s="193" t="s">
        <v>2427</v>
      </c>
      <c r="E149" s="194" t="s">
        <v>2429</v>
      </c>
      <c r="F149" s="195">
        <f>-(GIS!AI290*'State &amp; Province Summary'!H41)</f>
        <v>-7913159.20708609</v>
      </c>
      <c r="G149" s="119"/>
      <c r="H149" s="119"/>
      <c r="I149" s="119"/>
      <c r="J149" s="122"/>
      <c r="K149" s="122"/>
      <c r="L149" s="40"/>
      <c r="M149" s="122"/>
      <c r="N149" s="122"/>
    </row>
    <row r="150" spans="1:14" ht="14.25" customHeight="1">
      <c r="A150" s="284" t="s">
        <v>225</v>
      </c>
      <c r="B150" s="301">
        <f>N154</f>
        <v>-3062876.8237041696</v>
      </c>
      <c r="D150" s="125" t="s">
        <v>227</v>
      </c>
      <c r="E150" s="119"/>
      <c r="F150" s="93"/>
      <c r="G150" s="93"/>
      <c r="H150" s="108"/>
      <c r="I150" s="93"/>
      <c r="J150" s="124"/>
      <c r="K150" s="124"/>
      <c r="L150" s="40"/>
      <c r="M150" s="124"/>
      <c r="N150" s="124"/>
    </row>
    <row r="151" spans="1:14" ht="14.25" customHeight="1">
      <c r="A151" s="302" t="s">
        <v>226</v>
      </c>
      <c r="B151" s="300">
        <f>H154</f>
        <v>-358619387.8126744</v>
      </c>
      <c r="D151" s="112" t="s">
        <v>1351</v>
      </c>
      <c r="E151" s="119"/>
      <c r="F151" s="127">
        <f>'GIS Heat Input'!H116</f>
        <v>-585595.09416200884</v>
      </c>
      <c r="G151" s="93"/>
      <c r="H151" s="111">
        <f>'GWPs &amp; Fuel EFs'!N20*F151</f>
        <v>-67223213.052383453</v>
      </c>
      <c r="I151" s="93"/>
      <c r="J151" s="111">
        <f>F151*'GWPs &amp; Fuel EFs'!M48</f>
        <v>-4131.2518104019027</v>
      </c>
      <c r="K151" s="111">
        <f>J151*'GWPs &amp; Fuel EFs'!$D$11</f>
        <v>-103281.29526004757</v>
      </c>
      <c r="L151" s="40"/>
      <c r="M151" s="111">
        <f>F151*'GWPs &amp; Fuel EFs'!M76</f>
        <v>-813.34020017287457</v>
      </c>
      <c r="N151" s="111">
        <f>M151*'GWPs &amp; Fuel EFs'!$E$11</f>
        <v>-242375.37965151662</v>
      </c>
    </row>
    <row r="152" spans="1:14" s="16" customFormat="1">
      <c r="A152" s="284"/>
      <c r="B152" s="301"/>
      <c r="D152" s="112" t="s">
        <v>1227</v>
      </c>
      <c r="E152" s="119"/>
      <c r="F152" s="127">
        <f>'GIS Heat Input'!H118</f>
        <v>-1192540.9542031346</v>
      </c>
      <c r="G152" s="119"/>
      <c r="H152" s="111">
        <f>F152*'GWPs &amp; Fuel EFs'!N23</f>
        <v>-246609839.16120324</v>
      </c>
      <c r="I152" s="119"/>
      <c r="J152" s="111">
        <f>F152*'GWPs &amp; Fuel EFs'!M51</f>
        <v>-18929.539892970824</v>
      </c>
      <c r="K152" s="111">
        <f>J152*'GWPs &amp; Fuel EFs'!$D$11</f>
        <v>-473238.4973242706</v>
      </c>
      <c r="L152" s="40"/>
      <c r="M152" s="111">
        <f>F152*'GWPs &amp; Fuel EFs'!M79</f>
        <v>-9464.7699464854122</v>
      </c>
      <c r="N152" s="111">
        <f>M152*'GWPs &amp; Fuel EFs'!$E$11</f>
        <v>-2820501.4440526529</v>
      </c>
    </row>
    <row r="153" spans="1:14" s="16" customFormat="1">
      <c r="A153" s="284"/>
      <c r="B153" s="301"/>
      <c r="D153" s="193" t="s">
        <v>2427</v>
      </c>
      <c r="E153" s="194" t="s">
        <v>2691</v>
      </c>
      <c r="F153" s="204">
        <f>-(GIS!AI290*'State &amp; Province Summary'!H42)</f>
        <v>-44786335.599087715</v>
      </c>
      <c r="G153" s="119"/>
      <c r="H153" s="111">
        <f>F153</f>
        <v>-44786335.599087715</v>
      </c>
      <c r="I153" s="119"/>
      <c r="J153" s="111"/>
      <c r="K153" s="111"/>
      <c r="L153" s="40"/>
      <c r="M153" s="111"/>
      <c r="N153" s="111"/>
    </row>
    <row r="154" spans="1:14" s="16" customFormat="1">
      <c r="A154" s="284"/>
      <c r="B154" s="301"/>
      <c r="D154" s="112"/>
      <c r="E154" s="119"/>
      <c r="F154" s="119"/>
      <c r="G154" s="119"/>
      <c r="H154" s="115">
        <f>SUM(H151:H153)</f>
        <v>-358619387.8126744</v>
      </c>
      <c r="I154" s="119"/>
      <c r="J154" s="121"/>
      <c r="K154" s="114">
        <f>SUM(K148:K152)</f>
        <v>-576519.7925843182</v>
      </c>
      <c r="L154" s="40"/>
      <c r="M154" s="121"/>
      <c r="N154" s="114">
        <f>SUM(N148:N152)</f>
        <v>-3062876.8237041696</v>
      </c>
    </row>
    <row r="155" spans="1:14">
      <c r="A155" s="284"/>
      <c r="B155" s="284"/>
      <c r="D155" s="119"/>
      <c r="E155" s="119"/>
      <c r="F155" s="128"/>
      <c r="G155" s="93"/>
      <c r="H155" s="111"/>
      <c r="I155" s="93"/>
      <c r="J155" s="122"/>
      <c r="K155" s="122"/>
      <c r="L155" s="40"/>
      <c r="M155" s="122"/>
      <c r="N155" s="122"/>
    </row>
    <row r="156" spans="1:14">
      <c r="A156" s="17"/>
      <c r="B156" s="17"/>
      <c r="D156" s="116"/>
      <c r="E156" s="116"/>
      <c r="F156" s="116"/>
      <c r="G156" s="93"/>
      <c r="H156" s="116"/>
      <c r="I156" s="93"/>
      <c r="J156" s="116"/>
      <c r="K156" s="116"/>
      <c r="L156" s="93"/>
      <c r="M156" s="116"/>
      <c r="N156" s="116"/>
    </row>
    <row r="157" spans="1:14" ht="13">
      <c r="A157" s="869" t="s">
        <v>2664</v>
      </c>
      <c r="B157" s="869"/>
      <c r="D157" s="862" t="s">
        <v>2694</v>
      </c>
      <c r="E157" s="862"/>
      <c r="F157" s="862"/>
      <c r="G157" s="93"/>
      <c r="H157" s="105"/>
      <c r="I157" s="93"/>
      <c r="J157" s="136"/>
      <c r="K157" s="136"/>
      <c r="L157" s="93"/>
      <c r="M157" s="136"/>
      <c r="N157" s="136"/>
    </row>
    <row r="158" spans="1:14" ht="13">
      <c r="A158" s="869">
        <f>A146</f>
        <v>2019</v>
      </c>
      <c r="B158" s="869"/>
      <c r="D158" s="862"/>
      <c r="E158" s="862"/>
      <c r="F158" s="862"/>
      <c r="G158" s="93"/>
      <c r="H158" s="129"/>
      <c r="I158" s="93"/>
      <c r="J158" s="121"/>
      <c r="K158" s="121"/>
      <c r="L158" s="40"/>
      <c r="M158" s="121"/>
      <c r="N158" s="121"/>
    </row>
    <row r="159" spans="1:14" ht="42" customHeight="1">
      <c r="A159" s="297"/>
      <c r="B159" s="298" t="s">
        <v>341</v>
      </c>
      <c r="D159" s="107"/>
      <c r="E159" s="107" t="s">
        <v>2428</v>
      </c>
      <c r="F159" s="91" t="str">
        <f>F16</f>
        <v>Heat Input from GIS certificates (MMBtu)</v>
      </c>
      <c r="G159" s="93"/>
      <c r="H159" s="122"/>
      <c r="I159" s="93"/>
      <c r="J159" s="122"/>
      <c r="K159" s="122"/>
      <c r="L159" s="40"/>
      <c r="M159" s="122"/>
      <c r="N159" s="122"/>
    </row>
    <row r="160" spans="1:14" ht="13">
      <c r="A160" s="299" t="s">
        <v>220</v>
      </c>
      <c r="B160" s="300">
        <f>F161</f>
        <v>0</v>
      </c>
      <c r="C160" s="16"/>
      <c r="D160" s="91" t="s">
        <v>221</v>
      </c>
      <c r="E160" s="123"/>
      <c r="F160" s="123"/>
      <c r="G160" s="119"/>
      <c r="H160" s="40"/>
      <c r="I160" s="119"/>
      <c r="J160" s="124"/>
      <c r="K160" s="124"/>
      <c r="L160" s="40"/>
      <c r="M160" s="124"/>
      <c r="N160" s="124"/>
    </row>
    <row r="161" spans="1:14" ht="13">
      <c r="A161" s="302" t="s">
        <v>226</v>
      </c>
      <c r="B161" s="300">
        <f>F163</f>
        <v>0</v>
      </c>
      <c r="C161" s="16"/>
      <c r="D161" s="193" t="s">
        <v>2697</v>
      </c>
      <c r="E161" s="194" t="s">
        <v>2429</v>
      </c>
      <c r="F161" s="195">
        <f>-(GIS!AO264*'State &amp; Province Summary'!H38)</f>
        <v>0</v>
      </c>
      <c r="G161" s="119"/>
      <c r="H161" s="127"/>
      <c r="I161" s="119"/>
      <c r="J161" s="40"/>
      <c r="K161" s="40"/>
      <c r="L161" s="40"/>
      <c r="M161" s="40"/>
      <c r="N161" s="40"/>
    </row>
    <row r="162" spans="1:14">
      <c r="A162" s="284"/>
      <c r="B162" s="301"/>
      <c r="C162" s="16"/>
      <c r="D162" s="125" t="s">
        <v>227</v>
      </c>
      <c r="E162" s="119"/>
      <c r="F162" s="119"/>
      <c r="G162" s="130"/>
      <c r="H162" s="127"/>
      <c r="I162" s="119"/>
      <c r="J162" s="127"/>
      <c r="K162" s="127"/>
      <c r="L162" s="40"/>
      <c r="M162" s="127"/>
      <c r="N162" s="127"/>
    </row>
    <row r="163" spans="1:14">
      <c r="A163" s="284"/>
      <c r="B163" s="301"/>
      <c r="C163" s="16"/>
      <c r="D163" s="193" t="s">
        <v>2697</v>
      </c>
      <c r="E163" s="194" t="s">
        <v>2691</v>
      </c>
      <c r="F163" s="204">
        <f>-(GIS!AO264*'State &amp; Province Summary'!H39)</f>
        <v>0</v>
      </c>
      <c r="G163" s="130"/>
      <c r="H163" s="127"/>
      <c r="I163" s="119"/>
      <c r="J163" s="127"/>
      <c r="K163" s="127"/>
      <c r="L163" s="40"/>
      <c r="M163" s="127"/>
      <c r="N163" s="127"/>
    </row>
    <row r="164" spans="1:14" ht="13">
      <c r="A164" s="306"/>
      <c r="B164" s="305"/>
      <c r="D164" s="93"/>
      <c r="E164" s="93"/>
      <c r="F164" s="93"/>
      <c r="G164" s="93"/>
      <c r="H164" s="131"/>
      <c r="I164" s="93"/>
      <c r="J164" s="127"/>
      <c r="K164" s="131"/>
      <c r="L164" s="40"/>
      <c r="M164" s="127"/>
      <c r="N164" s="131"/>
    </row>
    <row r="165" spans="1:14">
      <c r="A165" s="325"/>
      <c r="B165" s="325"/>
      <c r="C165" s="325"/>
      <c r="D165" s="325"/>
      <c r="E165" s="325"/>
      <c r="F165" s="325"/>
      <c r="G165" s="325"/>
      <c r="H165" s="325"/>
      <c r="I165" s="325"/>
      <c r="J165" s="325"/>
      <c r="K165" s="325"/>
      <c r="L165" s="325"/>
      <c r="M165" s="325"/>
      <c r="N165" s="325"/>
    </row>
    <row r="166" spans="1:14" ht="15.5">
      <c r="A166" s="321"/>
    </row>
    <row r="167" spans="1:14" ht="15.5">
      <c r="A167" s="321" t="s">
        <v>3279</v>
      </c>
    </row>
    <row r="168" spans="1:14">
      <c r="A168" s="28" t="s">
        <v>2920</v>
      </c>
    </row>
    <row r="169" spans="1:14">
      <c r="A169" s="28" t="s">
        <v>2921</v>
      </c>
    </row>
    <row r="170" spans="1:14">
      <c r="A170" s="28" t="s">
        <v>2936</v>
      </c>
      <c r="B170" s="28"/>
      <c r="C170" s="28"/>
      <c r="D170" s="28"/>
      <c r="E170" s="28"/>
      <c r="F170" s="28"/>
    </row>
    <row r="171" spans="1:14">
      <c r="A171" s="28"/>
      <c r="B171" s="28"/>
      <c r="C171" s="28"/>
      <c r="D171" s="28"/>
      <c r="E171" s="28"/>
      <c r="F171" s="28"/>
    </row>
    <row r="172" spans="1:14" ht="13">
      <c r="A172" s="233" t="s">
        <v>2885</v>
      </c>
      <c r="B172" s="234"/>
      <c r="C172" s="28"/>
      <c r="D172" s="105" t="s">
        <v>232</v>
      </c>
      <c r="E172" s="105"/>
      <c r="F172" s="105"/>
      <c r="G172" s="93"/>
      <c r="H172" s="105" t="s">
        <v>232</v>
      </c>
      <c r="I172" s="110"/>
      <c r="J172" s="105" t="s">
        <v>232</v>
      </c>
      <c r="K172" s="105"/>
      <c r="L172" s="110"/>
      <c r="M172" s="105" t="s">
        <v>232</v>
      </c>
      <c r="N172" s="105"/>
    </row>
    <row r="173" spans="1:14" ht="13">
      <c r="A173" s="234">
        <v>2019</v>
      </c>
      <c r="B173" s="234"/>
      <c r="C173" s="33"/>
      <c r="D173" s="105" t="s">
        <v>213</v>
      </c>
      <c r="E173" s="105"/>
      <c r="F173" s="105"/>
      <c r="G173" s="93"/>
      <c r="H173" s="105" t="s">
        <v>214</v>
      </c>
      <c r="I173" s="110"/>
      <c r="J173" s="105" t="s">
        <v>215</v>
      </c>
      <c r="K173" s="105"/>
      <c r="L173" s="110"/>
      <c r="M173" s="105" t="s">
        <v>216</v>
      </c>
      <c r="N173" s="105"/>
    </row>
    <row r="174" spans="1:14" ht="35.5">
      <c r="A174" s="235"/>
      <c r="B174" s="236" t="s">
        <v>341</v>
      </c>
      <c r="C174" s="735"/>
      <c r="D174" s="107" t="s">
        <v>217</v>
      </c>
      <c r="E174" s="107" t="s">
        <v>218</v>
      </c>
      <c r="F174" s="107" t="s">
        <v>2711</v>
      </c>
      <c r="G174" s="93"/>
      <c r="H174" s="231" t="s">
        <v>339</v>
      </c>
      <c r="I174" s="232"/>
      <c r="J174" s="107" t="s">
        <v>340</v>
      </c>
      <c r="K174" s="230" t="s">
        <v>341</v>
      </c>
      <c r="L174" s="232"/>
      <c r="M174" s="107" t="s">
        <v>342</v>
      </c>
      <c r="N174" s="230" t="s">
        <v>341</v>
      </c>
    </row>
    <row r="175" spans="1:14" ht="13">
      <c r="A175" s="237" t="s">
        <v>220</v>
      </c>
      <c r="B175" s="238">
        <f>SUM(B176:B180)</f>
        <v>4687.9753812561557</v>
      </c>
      <c r="C175" s="33"/>
      <c r="D175" s="90" t="s">
        <v>221</v>
      </c>
      <c r="E175" s="90"/>
      <c r="F175" s="90"/>
      <c r="G175" s="93"/>
      <c r="H175" s="93"/>
      <c r="I175" s="93"/>
      <c r="J175" s="106"/>
      <c r="K175" s="106"/>
      <c r="L175" s="93"/>
      <c r="M175" s="106"/>
      <c r="N175" s="106"/>
    </row>
    <row r="176" spans="1:14">
      <c r="A176" s="531" t="s">
        <v>1471</v>
      </c>
      <c r="B176" s="239">
        <f>H179</f>
        <v>0</v>
      </c>
      <c r="C176" s="33"/>
      <c r="D176" s="109" t="s">
        <v>2686</v>
      </c>
      <c r="E176" s="134" t="s">
        <v>48</v>
      </c>
      <c r="F176" s="135">
        <f>'GIS Heat Input'!E28</f>
        <v>0</v>
      </c>
      <c r="G176" s="93"/>
      <c r="H176" s="111">
        <f>F176*'GWPs &amp; Fuel EFs'!$N$7</f>
        <v>0</v>
      </c>
      <c r="I176" s="93"/>
      <c r="J176" s="111">
        <f>F176*'GWPs &amp; Fuel EFs'!$M$35</f>
        <v>0</v>
      </c>
      <c r="K176" s="111">
        <f>J176*'GWPs &amp; Fuel EFs'!$D$11</f>
        <v>0</v>
      </c>
      <c r="L176" s="93"/>
      <c r="M176" s="111">
        <f>F176*'GWPs &amp; Fuel EFs'!$M$63</f>
        <v>0</v>
      </c>
      <c r="N176" s="111">
        <f>M176*'GWPs &amp; Fuel EFs'!$E$11</f>
        <v>0</v>
      </c>
    </row>
    <row r="177" spans="1:14">
      <c r="A177" s="531" t="s">
        <v>222</v>
      </c>
      <c r="B177" s="239">
        <f>K179</f>
        <v>0</v>
      </c>
      <c r="C177" s="33"/>
      <c r="D177" s="109" t="s">
        <v>388</v>
      </c>
      <c r="E177" s="134" t="s">
        <v>41</v>
      </c>
      <c r="F177" s="135">
        <f>'GIS Heat Input'!E29</f>
        <v>0</v>
      </c>
      <c r="G177" s="93"/>
      <c r="H177" s="111">
        <f>F177*'GWPs &amp; Fuel EFs'!$N$8</f>
        <v>0</v>
      </c>
      <c r="I177" s="93"/>
      <c r="J177" s="111">
        <f>F177*'GWPs &amp; Fuel EFs'!$M$36</f>
        <v>0</v>
      </c>
      <c r="K177" s="111">
        <f>J177*'GWPs &amp; Fuel EFs'!$D$11</f>
        <v>0</v>
      </c>
      <c r="L177" s="93"/>
      <c r="M177" s="111">
        <f>F177*'GWPs &amp; Fuel EFs'!$M$64</f>
        <v>0</v>
      </c>
      <c r="N177" s="111">
        <f>M177*'GWPs &amp; Fuel EFs'!$E$11</f>
        <v>0</v>
      </c>
    </row>
    <row r="178" spans="1:14">
      <c r="A178" s="531" t="s">
        <v>223</v>
      </c>
      <c r="B178" s="239">
        <f>N179</f>
        <v>0</v>
      </c>
      <c r="C178" s="33"/>
      <c r="D178" s="109" t="s">
        <v>402</v>
      </c>
      <c r="E178" s="134" t="s">
        <v>19</v>
      </c>
      <c r="F178" s="135">
        <f>'GIS Heat Input'!E30</f>
        <v>0</v>
      </c>
      <c r="G178" s="93"/>
      <c r="H178" s="111">
        <f>F178*'GWPs &amp; Fuel EFs'!$N$9</f>
        <v>0</v>
      </c>
      <c r="I178" s="93"/>
      <c r="J178" s="111">
        <f>F178*'GWPs &amp; Fuel EFs'!$M$37</f>
        <v>0</v>
      </c>
      <c r="K178" s="111">
        <f>J178*'GWPs &amp; Fuel EFs'!$D$11</f>
        <v>0</v>
      </c>
      <c r="L178" s="93"/>
      <c r="M178" s="111">
        <f>F178*'GWPs &amp; Fuel EFs'!$M$65</f>
        <v>0</v>
      </c>
      <c r="N178" s="111">
        <f>M178*'GWPs &amp; Fuel EFs'!$E$11</f>
        <v>0</v>
      </c>
    </row>
    <row r="179" spans="1:14">
      <c r="A179" s="531" t="s">
        <v>224</v>
      </c>
      <c r="B179" s="239">
        <f>K187</f>
        <v>1400.7545772036024</v>
      </c>
      <c r="C179" s="33"/>
      <c r="D179" s="109"/>
      <c r="E179" s="93"/>
      <c r="F179" s="108"/>
      <c r="G179" s="93"/>
      <c r="H179" s="114">
        <f>SUM(H176:H178)</f>
        <v>0</v>
      </c>
      <c r="I179" s="93"/>
      <c r="J179" s="111"/>
      <c r="K179" s="114">
        <f>SUM(K176:K178)</f>
        <v>0</v>
      </c>
      <c r="L179" s="93"/>
      <c r="M179" s="111"/>
      <c r="N179" s="114">
        <f>SUM(N176:N178)</f>
        <v>0</v>
      </c>
    </row>
    <row r="180" spans="1:14">
      <c r="A180" s="531" t="s">
        <v>225</v>
      </c>
      <c r="B180" s="239">
        <f>N187</f>
        <v>3287.2208040525538</v>
      </c>
      <c r="C180" s="33"/>
      <c r="D180" s="28"/>
      <c r="E180" s="28"/>
      <c r="F180" s="28"/>
    </row>
    <row r="181" spans="1:14">
      <c r="A181" s="531"/>
      <c r="B181" s="531"/>
      <c r="C181" s="33"/>
      <c r="D181" s="28"/>
      <c r="E181" s="28"/>
      <c r="F181" s="28"/>
    </row>
    <row r="182" spans="1:14" ht="13">
      <c r="A182" s="240" t="s">
        <v>226</v>
      </c>
      <c r="B182" s="238">
        <f>H187</f>
        <v>911716.13543739473</v>
      </c>
      <c r="C182" s="33"/>
      <c r="D182" s="90" t="s">
        <v>227</v>
      </c>
      <c r="E182" s="93"/>
      <c r="F182" s="108"/>
      <c r="G182" s="93"/>
      <c r="H182" s="114"/>
      <c r="I182" s="93"/>
      <c r="J182" s="111"/>
      <c r="K182" s="114"/>
      <c r="L182" s="93"/>
      <c r="M182" s="111"/>
      <c r="N182" s="114"/>
    </row>
    <row r="183" spans="1:14">
      <c r="A183" s="531"/>
      <c r="B183" s="531"/>
      <c r="C183" s="33"/>
      <c r="D183" s="112" t="s">
        <v>396</v>
      </c>
      <c r="E183" s="134" t="s">
        <v>65</v>
      </c>
      <c r="F183" s="135">
        <f>'GIS Heat Input'!E32</f>
        <v>7942.1448624368331</v>
      </c>
      <c r="G183" s="93"/>
      <c r="H183" s="111">
        <f>F183*'GWPs &amp; Fuel EFs'!$N$20</f>
        <v>911716.13543739473</v>
      </c>
      <c r="I183" s="93"/>
      <c r="J183" s="111">
        <f>F183*'GWPs &amp; Fuel EFs'!$M$48</f>
        <v>56.030183088144099</v>
      </c>
      <c r="K183" s="111">
        <f>J183*'GWPs &amp; Fuel EFs'!$D$11</f>
        <v>1400.7545772036024</v>
      </c>
      <c r="L183" s="93"/>
      <c r="M183" s="111">
        <f>F183*'GWPs &amp; Fuel EFs'!$M$76</f>
        <v>11.030942295478368</v>
      </c>
      <c r="N183" s="111">
        <f>M183*'GWPs &amp; Fuel EFs'!$E$11</f>
        <v>3287.2208040525538</v>
      </c>
    </row>
    <row r="184" spans="1:14">
      <c r="A184" s="531"/>
      <c r="B184" s="736"/>
      <c r="C184" s="33"/>
      <c r="D184" s="112" t="s">
        <v>399</v>
      </c>
      <c r="E184" s="134" t="s">
        <v>18</v>
      </c>
      <c r="F184" s="135">
        <f>'GIS Heat Input'!E33</f>
        <v>0</v>
      </c>
      <c r="G184" s="93"/>
      <c r="H184" s="111">
        <f>F184*'GWPs &amp; Fuel EFs'!$N$21</f>
        <v>0</v>
      </c>
      <c r="I184" s="93"/>
      <c r="J184" s="111">
        <f>F184*'GWPs &amp; Fuel EFs'!$M$49</f>
        <v>0</v>
      </c>
      <c r="K184" s="111">
        <f>J184*'GWPs &amp; Fuel EFs'!$D$11</f>
        <v>0</v>
      </c>
      <c r="L184" s="93"/>
      <c r="M184" s="111">
        <f>F184*'GWPs &amp; Fuel EFs'!$M$77</f>
        <v>0</v>
      </c>
      <c r="N184" s="111">
        <f>M184*'GWPs &amp; Fuel EFs'!$E$11</f>
        <v>0</v>
      </c>
    </row>
    <row r="185" spans="1:14">
      <c r="A185" s="531"/>
      <c r="B185" s="531"/>
      <c r="C185" s="33"/>
      <c r="D185" s="112" t="s">
        <v>404</v>
      </c>
      <c r="E185" s="134" t="s">
        <v>71</v>
      </c>
      <c r="F185" s="135">
        <f>'GIS Heat Input'!E34</f>
        <v>0</v>
      </c>
      <c r="G185" s="93"/>
      <c r="H185" s="111">
        <f>F185*'GWPs &amp; Fuel EFs'!$N$23</f>
        <v>0</v>
      </c>
      <c r="I185" s="93"/>
      <c r="J185" s="111">
        <f>F185*'GWPs &amp; Fuel EFs'!$M$51</f>
        <v>0</v>
      </c>
      <c r="K185" s="111">
        <f>J185*'GWPs &amp; Fuel EFs'!$D$11</f>
        <v>0</v>
      </c>
      <c r="L185" s="93"/>
      <c r="M185" s="111">
        <f>F185*'GWPs &amp; Fuel EFs'!$M$79</f>
        <v>0</v>
      </c>
      <c r="N185" s="111">
        <f>M185*'GWPs &amp; Fuel EFs'!$E$11</f>
        <v>0</v>
      </c>
    </row>
    <row r="186" spans="1:14">
      <c r="A186" s="531"/>
      <c r="B186" s="531"/>
      <c r="C186" s="32"/>
      <c r="D186" s="120" t="s">
        <v>2425</v>
      </c>
      <c r="E186" s="134" t="s">
        <v>70</v>
      </c>
      <c r="F186" s="135">
        <f>'GIS Heat Input'!E35</f>
        <v>0</v>
      </c>
      <c r="G186" s="93"/>
      <c r="H186" s="111">
        <f>F186*'GWPs &amp; Fuel EFs'!$N$27</f>
        <v>0</v>
      </c>
      <c r="I186" s="93"/>
      <c r="J186" s="111">
        <f>F186*'GWPs &amp; Fuel EFs'!$M$55</f>
        <v>0</v>
      </c>
      <c r="K186" s="111">
        <f>J186*'GWPs &amp; Fuel EFs'!$D$11</f>
        <v>0</v>
      </c>
      <c r="L186" s="93"/>
      <c r="M186" s="111">
        <f>F186*'GWPs &amp; Fuel EFs'!$M$83</f>
        <v>0</v>
      </c>
      <c r="N186" s="111">
        <f>M186*'GWPs &amp; Fuel EFs'!$E$11</f>
        <v>0</v>
      </c>
    </row>
    <row r="187" spans="1:14">
      <c r="A187" s="531"/>
      <c r="B187" s="239"/>
      <c r="C187" s="33"/>
      <c r="D187" s="93"/>
      <c r="E187" s="93"/>
      <c r="F187" s="108"/>
      <c r="G187" s="93"/>
      <c r="H187" s="115">
        <f>SUM(H183:H186)</f>
        <v>911716.13543739473</v>
      </c>
      <c r="I187" s="93"/>
      <c r="J187" s="93"/>
      <c r="K187" s="114">
        <f>SUM(K183:K186)</f>
        <v>1400.7545772036024</v>
      </c>
      <c r="L187" s="93"/>
      <c r="M187" s="93"/>
      <c r="N187" s="114">
        <f>SUM(N183:N186)</f>
        <v>3287.2208040525538</v>
      </c>
    </row>
    <row r="188" spans="1:14">
      <c r="A188" s="531"/>
      <c r="B188" s="531"/>
      <c r="C188" s="33"/>
      <c r="D188" s="28"/>
      <c r="E188" s="28"/>
      <c r="F188" s="28"/>
    </row>
    <row r="189" spans="1:14">
      <c r="A189" s="737"/>
      <c r="B189" s="737"/>
      <c r="C189" s="737"/>
      <c r="D189" s="737"/>
      <c r="E189" s="737"/>
      <c r="F189" s="737"/>
      <c r="G189" s="241"/>
      <c r="H189" s="241"/>
      <c r="I189" s="241"/>
      <c r="J189" s="241"/>
      <c r="K189" s="241"/>
      <c r="L189" s="241"/>
      <c r="M189" s="241"/>
      <c r="N189" s="241"/>
    </row>
    <row r="190" spans="1:14" ht="13">
      <c r="A190" s="233" t="s">
        <v>2888</v>
      </c>
      <c r="B190" s="234"/>
      <c r="C190" s="28"/>
      <c r="D190" s="105" t="s">
        <v>212</v>
      </c>
      <c r="E190" s="105"/>
      <c r="F190" s="105"/>
      <c r="G190" s="93"/>
      <c r="H190" s="105" t="s">
        <v>212</v>
      </c>
      <c r="I190" s="105"/>
      <c r="J190" s="105" t="s">
        <v>212</v>
      </c>
      <c r="K190" s="105"/>
      <c r="L190" s="93"/>
      <c r="M190" s="105" t="s">
        <v>212</v>
      </c>
      <c r="N190" s="105"/>
    </row>
    <row r="191" spans="1:14" ht="13">
      <c r="A191" s="234">
        <f>A173</f>
        <v>2019</v>
      </c>
      <c r="B191" s="234"/>
      <c r="C191" s="28"/>
      <c r="D191" s="105" t="s">
        <v>213</v>
      </c>
      <c r="E191" s="105"/>
      <c r="F191" s="105"/>
      <c r="G191" s="106"/>
      <c r="H191" s="105" t="s">
        <v>214</v>
      </c>
      <c r="I191" s="105"/>
      <c r="J191" s="105" t="s">
        <v>215</v>
      </c>
      <c r="K191" s="105"/>
      <c r="L191" s="93"/>
      <c r="M191" s="105" t="s">
        <v>216</v>
      </c>
      <c r="N191" s="105"/>
    </row>
    <row r="192" spans="1:14" ht="35.5">
      <c r="A192" s="235"/>
      <c r="B192" s="236" t="s">
        <v>341</v>
      </c>
      <c r="C192" s="735"/>
      <c r="D192" s="107" t="s">
        <v>217</v>
      </c>
      <c r="E192" s="107" t="s">
        <v>218</v>
      </c>
      <c r="F192" s="107" t="str">
        <f>F174</f>
        <v>Net Heat Input Out of State from MSS Meters</v>
      </c>
      <c r="G192" s="93"/>
      <c r="H192" s="92" t="s">
        <v>339</v>
      </c>
      <c r="I192" s="106"/>
      <c r="J192" s="90" t="s">
        <v>340</v>
      </c>
      <c r="K192" s="91" t="s">
        <v>341</v>
      </c>
      <c r="L192" s="106"/>
      <c r="M192" s="90" t="s">
        <v>342</v>
      </c>
      <c r="N192" s="91" t="s">
        <v>341</v>
      </c>
    </row>
    <row r="193" spans="1:14" ht="13">
      <c r="A193" s="237" t="s">
        <v>220</v>
      </c>
      <c r="B193" s="238">
        <f>SUM(B194:B198)</f>
        <v>6762087.6975286985</v>
      </c>
      <c r="C193" s="735"/>
      <c r="D193" s="90" t="s">
        <v>221</v>
      </c>
      <c r="E193" s="106"/>
      <c r="F193" s="90"/>
      <c r="G193" s="108"/>
      <c r="H193" s="106"/>
      <c r="I193" s="106"/>
      <c r="J193" s="106"/>
      <c r="K193" s="106"/>
      <c r="L193" s="106"/>
      <c r="M193" s="106"/>
      <c r="N193" s="106"/>
    </row>
    <row r="194" spans="1:14">
      <c r="A194" s="531" t="s">
        <v>1471</v>
      </c>
      <c r="B194" s="239">
        <f>H197</f>
        <v>1255150.2934718416</v>
      </c>
      <c r="C194" s="28"/>
      <c r="D194" s="109" t="s">
        <v>2686</v>
      </c>
      <c r="E194" s="134" t="s">
        <v>48</v>
      </c>
      <c r="F194" s="135">
        <f>'GIS Heat Input'!E16</f>
        <v>1887.1123509294575</v>
      </c>
      <c r="G194" s="93"/>
      <c r="H194" s="111">
        <f>F194*'GWPs &amp; Fuel EFs'!$N$7</f>
        <v>304372.34957172227</v>
      </c>
      <c r="I194" s="93"/>
      <c r="J194" s="111">
        <f>F194*'GWPs &amp; Fuel EFs'!$M$35</f>
        <v>12.48111172602138</v>
      </c>
      <c r="K194" s="111">
        <f>J194*'GWPs &amp; Fuel EFs'!$D$11</f>
        <v>312.02779315053448</v>
      </c>
      <c r="L194" s="93"/>
      <c r="M194" s="111">
        <f>F194*'GWPs &amp; Fuel EFs'!$M$63</f>
        <v>2.4962223452042758</v>
      </c>
      <c r="N194" s="111">
        <f>M194*'GWPs &amp; Fuel EFs'!$E$11</f>
        <v>743.8742588708742</v>
      </c>
    </row>
    <row r="195" spans="1:14">
      <c r="A195" s="531" t="s">
        <v>222</v>
      </c>
      <c r="B195" s="239">
        <f>K197</f>
        <v>759.91693664845707</v>
      </c>
      <c r="C195" s="28"/>
      <c r="D195" s="109" t="s">
        <v>388</v>
      </c>
      <c r="E195" s="134" t="s">
        <v>41</v>
      </c>
      <c r="F195" s="135">
        <f>'GIS Heat Input'!E17</f>
        <v>8126.3639306744035</v>
      </c>
      <c r="G195" s="93"/>
      <c r="H195" s="111">
        <f>F195*'GWPs &amp; Fuel EFs'!$N$8</f>
        <v>950777.9439001194</v>
      </c>
      <c r="I195" s="93"/>
      <c r="J195" s="111">
        <f>F195*'GWPs &amp; Fuel EFs'!$M$36</f>
        <v>17.9155657399169</v>
      </c>
      <c r="K195" s="111">
        <f>J195*'GWPs &amp; Fuel EFs'!$D$11</f>
        <v>447.88914349792253</v>
      </c>
      <c r="L195" s="93"/>
      <c r="M195" s="111">
        <f>F195*'GWPs &amp; Fuel EFs'!$M$64</f>
        <v>1.7915565739916901</v>
      </c>
      <c r="N195" s="111">
        <f>M195*'GWPs &amp; Fuel EFs'!$E$11</f>
        <v>533.88385904952361</v>
      </c>
    </row>
    <row r="196" spans="1:14">
      <c r="A196" s="531" t="s">
        <v>223</v>
      </c>
      <c r="B196" s="239">
        <f>N197</f>
        <v>1277.7581179203978</v>
      </c>
      <c r="C196" s="28"/>
      <c r="D196" s="109" t="s">
        <v>402</v>
      </c>
      <c r="E196" s="134" t="s">
        <v>19</v>
      </c>
      <c r="F196" s="135">
        <f>'GIS Heat Input'!E18</f>
        <v>0</v>
      </c>
      <c r="G196" s="93"/>
      <c r="H196" s="111">
        <f>F196*'GWPs &amp; Fuel EFs'!$N$9</f>
        <v>0</v>
      </c>
      <c r="I196" s="93"/>
      <c r="J196" s="111">
        <f>F196*'GWPs &amp; Fuel EFs'!$M$37</f>
        <v>0</v>
      </c>
      <c r="K196" s="111">
        <f>J196*'GWPs &amp; Fuel EFs'!$D$11</f>
        <v>0</v>
      </c>
      <c r="L196" s="93"/>
      <c r="M196" s="111">
        <f>F196*'GWPs &amp; Fuel EFs'!$M$65</f>
        <v>0</v>
      </c>
      <c r="N196" s="111">
        <f>M196*'GWPs &amp; Fuel EFs'!$E$11</f>
        <v>0</v>
      </c>
    </row>
    <row r="197" spans="1:14">
      <c r="A197" s="531" t="s">
        <v>224</v>
      </c>
      <c r="B197" s="239">
        <f>K205</f>
        <v>863401.56725288136</v>
      </c>
      <c r="C197" s="28"/>
      <c r="D197" s="109"/>
      <c r="E197" s="93"/>
      <c r="F197" s="108"/>
      <c r="G197" s="93"/>
      <c r="H197" s="114">
        <f>SUM(H194:H196)</f>
        <v>1255150.2934718416</v>
      </c>
      <c r="I197" s="93"/>
      <c r="J197" s="111"/>
      <c r="K197" s="114">
        <f>SUM(K194:K196)</f>
        <v>759.91693664845707</v>
      </c>
      <c r="L197" s="93"/>
      <c r="M197" s="111"/>
      <c r="N197" s="114">
        <f>SUM(N194:N196)</f>
        <v>1277.7581179203978</v>
      </c>
    </row>
    <row r="198" spans="1:14">
      <c r="A198" s="531" t="s">
        <v>225</v>
      </c>
      <c r="B198" s="239">
        <f>N205</f>
        <v>4641498.1617494067</v>
      </c>
      <c r="C198" s="28"/>
      <c r="D198" s="28"/>
      <c r="E198" s="28"/>
      <c r="F198" s="28"/>
    </row>
    <row r="199" spans="1:14">
      <c r="A199" s="531"/>
      <c r="B199" s="531"/>
      <c r="C199" s="28"/>
      <c r="D199" s="28"/>
      <c r="E199" s="28"/>
      <c r="F199" s="28"/>
    </row>
    <row r="200" spans="1:14" ht="13">
      <c r="A200" s="240" t="s">
        <v>226</v>
      </c>
      <c r="B200" s="238">
        <f>H205</f>
        <v>468041949.17336982</v>
      </c>
      <c r="C200" s="28"/>
      <c r="D200" s="90" t="s">
        <v>227</v>
      </c>
      <c r="E200" s="93"/>
      <c r="F200" s="108"/>
      <c r="G200" s="93"/>
      <c r="H200" s="114"/>
      <c r="I200" s="93"/>
      <c r="J200" s="111"/>
      <c r="K200" s="114"/>
      <c r="L200" s="93"/>
      <c r="M200" s="111"/>
      <c r="N200" s="114"/>
    </row>
    <row r="201" spans="1:14">
      <c r="A201" s="531"/>
      <c r="B201" s="531"/>
      <c r="C201" s="28"/>
      <c r="D201" s="112" t="s">
        <v>396</v>
      </c>
      <c r="E201" s="134" t="s">
        <v>65</v>
      </c>
      <c r="F201" s="135">
        <f>'GIS Heat Input'!E20</f>
        <v>791464.51615205116</v>
      </c>
      <c r="G201" s="93"/>
      <c r="H201" s="111">
        <f>F201*'GWPs &amp; Fuel EFs'!$N$20</f>
        <v>90855931.552547231</v>
      </c>
      <c r="I201" s="93"/>
      <c r="J201" s="111">
        <f>F201*'GWPs &amp; Fuel EFs'!$M$48</f>
        <v>5583.6178407557354</v>
      </c>
      <c r="K201" s="111">
        <f>J201*'GWPs &amp; Fuel EFs'!$D$11</f>
        <v>139590.44601889339</v>
      </c>
      <c r="L201" s="93"/>
      <c r="M201" s="111">
        <f>F201*'GWPs &amp; Fuel EFs'!$M$76</f>
        <v>1099.2747623987855</v>
      </c>
      <c r="N201" s="111">
        <f>M201*'GWPs &amp; Fuel EFs'!$E$11</f>
        <v>327583.87919483805</v>
      </c>
    </row>
    <row r="202" spans="1:14">
      <c r="A202" s="531"/>
      <c r="B202" s="736"/>
      <c r="C202" s="28"/>
      <c r="D202" s="112" t="s">
        <v>399</v>
      </c>
      <c r="E202" s="134" t="s">
        <v>18</v>
      </c>
      <c r="F202" s="135">
        <f>'GIS Heat Input'!E21</f>
        <v>0</v>
      </c>
      <c r="G202" s="93"/>
      <c r="H202" s="111">
        <f>F202*'GWPs &amp; Fuel EFs'!$N$21</f>
        <v>0</v>
      </c>
      <c r="I202" s="93"/>
      <c r="J202" s="111">
        <f>F202*'GWPs &amp; Fuel EFs'!$M$49</f>
        <v>0</v>
      </c>
      <c r="K202" s="111">
        <f>J202*'GWPs &amp; Fuel EFs'!$D$11</f>
        <v>0</v>
      </c>
      <c r="L202" s="93"/>
      <c r="M202" s="111">
        <f>F202*'GWPs &amp; Fuel EFs'!$M$77</f>
        <v>0</v>
      </c>
      <c r="N202" s="111">
        <f>M202*'GWPs &amp; Fuel EFs'!$E$11</f>
        <v>0</v>
      </c>
    </row>
    <row r="203" spans="1:14">
      <c r="A203" s="531"/>
      <c r="B203" s="531"/>
      <c r="C203" s="28"/>
      <c r="D203" s="112" t="s">
        <v>404</v>
      </c>
      <c r="E203" s="134" t="s">
        <v>71</v>
      </c>
      <c r="F203" s="135">
        <f>'GIS Heat Input'!E22</f>
        <v>1823973.3454900221</v>
      </c>
      <c r="G203" s="93"/>
      <c r="H203" s="111">
        <f>F203*'GWPs &amp; Fuel EFs'!$N$23</f>
        <v>377186017.62082261</v>
      </c>
      <c r="I203" s="93"/>
      <c r="J203" s="111">
        <f>F203*'GWPs &amp; Fuel EFs'!$M$51</f>
        <v>28952.444849359519</v>
      </c>
      <c r="K203" s="111">
        <f>J203*'GWPs &amp; Fuel EFs'!$D$11</f>
        <v>723811.12123398797</v>
      </c>
      <c r="L203" s="93"/>
      <c r="M203" s="111">
        <f>F203*'GWPs &amp; Fuel EFs'!$M$79</f>
        <v>14476.22242467976</v>
      </c>
      <c r="N203" s="111">
        <f>M203*'GWPs &amp; Fuel EFs'!$E$11</f>
        <v>4313914.2825545687</v>
      </c>
    </row>
    <row r="204" spans="1:14">
      <c r="A204" s="531"/>
      <c r="B204" s="531"/>
      <c r="C204" s="32"/>
      <c r="D204" s="120" t="s">
        <v>2425</v>
      </c>
      <c r="E204" s="134" t="s">
        <v>70</v>
      </c>
      <c r="F204" s="135">
        <f>'GIS Heat Input'!E23</f>
        <v>0</v>
      </c>
      <c r="G204" s="93"/>
      <c r="H204" s="111">
        <f>F204*'GWPs &amp; Fuel EFs'!$N$27</f>
        <v>0</v>
      </c>
      <c r="I204" s="93"/>
      <c r="J204" s="111">
        <f>F204*'GWPs &amp; Fuel EFs'!$M$55</f>
        <v>0</v>
      </c>
      <c r="K204" s="111">
        <f>J204*'GWPs &amp; Fuel EFs'!$D$11</f>
        <v>0</v>
      </c>
      <c r="L204" s="93"/>
      <c r="M204" s="111">
        <f>F204*'GWPs &amp; Fuel EFs'!$M$83</f>
        <v>0</v>
      </c>
      <c r="N204" s="111">
        <f>M204*'GWPs &amp; Fuel EFs'!$E$11</f>
        <v>0</v>
      </c>
    </row>
    <row r="205" spans="1:14">
      <c r="A205" s="738"/>
      <c r="B205" s="739"/>
      <c r="C205" s="28"/>
      <c r="D205" s="93"/>
      <c r="E205" s="93"/>
      <c r="F205" s="108"/>
      <c r="G205" s="93"/>
      <c r="H205" s="115">
        <f>SUM(H201:H204)</f>
        <v>468041949.17336982</v>
      </c>
      <c r="I205" s="93"/>
      <c r="J205" s="93"/>
      <c r="K205" s="114">
        <f>SUM(K201:K204)</f>
        <v>863401.56725288136</v>
      </c>
      <c r="L205" s="93"/>
      <c r="M205" s="93"/>
      <c r="N205" s="114">
        <f>SUM(N201:N204)</f>
        <v>4641498.1617494067</v>
      </c>
    </row>
    <row r="206" spans="1:14">
      <c r="A206" s="738"/>
      <c r="B206" s="739"/>
      <c r="C206" s="28"/>
      <c r="D206" s="28"/>
      <c r="E206" s="28"/>
      <c r="F206" s="28"/>
    </row>
    <row r="207" spans="1:14">
      <c r="A207" s="737"/>
      <c r="B207" s="737"/>
      <c r="C207" s="737"/>
      <c r="D207" s="737"/>
      <c r="E207" s="737"/>
      <c r="F207" s="737"/>
      <c r="G207" s="241"/>
      <c r="H207" s="241"/>
      <c r="I207" s="241"/>
      <c r="J207" s="241"/>
      <c r="K207" s="241"/>
      <c r="L207" s="241"/>
      <c r="M207" s="241"/>
      <c r="N207" s="241"/>
    </row>
    <row r="208" spans="1:14" ht="13">
      <c r="A208" s="233" t="s">
        <v>2887</v>
      </c>
      <c r="B208" s="234"/>
      <c r="C208" s="28"/>
      <c r="D208" s="105" t="s">
        <v>228</v>
      </c>
      <c r="E208" s="105"/>
      <c r="F208" s="105"/>
      <c r="G208" s="93"/>
      <c r="H208" s="105" t="s">
        <v>228</v>
      </c>
      <c r="I208" s="93"/>
      <c r="J208" s="105" t="s">
        <v>228</v>
      </c>
      <c r="K208" s="105"/>
      <c r="L208" s="93"/>
      <c r="M208" s="105" t="s">
        <v>228</v>
      </c>
      <c r="N208" s="105"/>
    </row>
    <row r="209" spans="1:14" ht="13">
      <c r="A209" s="234">
        <f>A173</f>
        <v>2019</v>
      </c>
      <c r="B209" s="234"/>
      <c r="C209" s="28"/>
      <c r="D209" s="105" t="s">
        <v>213</v>
      </c>
      <c r="E209" s="105"/>
      <c r="F209" s="105"/>
      <c r="G209" s="93"/>
      <c r="H209" s="105" t="s">
        <v>214</v>
      </c>
      <c r="I209" s="93"/>
      <c r="J209" s="105" t="s">
        <v>215</v>
      </c>
      <c r="K209" s="105"/>
      <c r="L209" s="93"/>
      <c r="M209" s="105" t="s">
        <v>216</v>
      </c>
      <c r="N209" s="105"/>
    </row>
    <row r="210" spans="1:14" ht="35.5">
      <c r="A210" s="235"/>
      <c r="B210" s="236" t="s">
        <v>341</v>
      </c>
      <c r="C210" s="735"/>
      <c r="D210" s="107" t="s">
        <v>217</v>
      </c>
      <c r="E210" s="107" t="s">
        <v>218</v>
      </c>
      <c r="F210" s="107" t="str">
        <f>F174</f>
        <v>Net Heat Input Out of State from MSS Meters</v>
      </c>
      <c r="G210" s="93"/>
      <c r="H210" s="92" t="s">
        <v>339</v>
      </c>
      <c r="I210" s="106"/>
      <c r="J210" s="90" t="s">
        <v>340</v>
      </c>
      <c r="K210" s="91" t="s">
        <v>341</v>
      </c>
      <c r="L210" s="106"/>
      <c r="M210" s="90" t="s">
        <v>342</v>
      </c>
      <c r="N210" s="91" t="s">
        <v>341</v>
      </c>
    </row>
    <row r="211" spans="1:14" ht="13">
      <c r="A211" s="237" t="s">
        <v>220</v>
      </c>
      <c r="B211" s="238">
        <f>SUM(B212:B216)+F215</f>
        <v>22744559.568297405</v>
      </c>
      <c r="C211" s="28"/>
      <c r="D211" s="90" t="s">
        <v>221</v>
      </c>
      <c r="E211" s="106"/>
      <c r="F211" s="28"/>
      <c r="G211" s="93"/>
      <c r="H211" s="93"/>
      <c r="I211" s="93"/>
      <c r="J211" s="106"/>
      <c r="K211" s="106"/>
      <c r="L211" s="93"/>
      <c r="M211" s="106"/>
      <c r="N211" s="106"/>
    </row>
    <row r="212" spans="1:14">
      <c r="A212" s="531" t="s">
        <v>1471</v>
      </c>
      <c r="B212" s="239">
        <f>H215</f>
        <v>0</v>
      </c>
      <c r="C212" s="28"/>
      <c r="D212" s="109" t="s">
        <v>2686</v>
      </c>
      <c r="E212" s="134" t="s">
        <v>48</v>
      </c>
      <c r="F212" s="135">
        <f>'GIS Heat Input'!E40</f>
        <v>0</v>
      </c>
      <c r="G212" s="93"/>
      <c r="H212" s="111">
        <f>F212*'GWPs &amp; Fuel EFs'!$N$7</f>
        <v>0</v>
      </c>
      <c r="I212" s="93"/>
      <c r="J212" s="111">
        <f>F212*'GWPs &amp; Fuel EFs'!$M$35</f>
        <v>0</v>
      </c>
      <c r="K212" s="111">
        <f>J212*'GWPs &amp; Fuel EFs'!$D$11</f>
        <v>0</v>
      </c>
      <c r="L212" s="93"/>
      <c r="M212" s="111">
        <f>F212*'GWPs &amp; Fuel EFs'!$M$63</f>
        <v>0</v>
      </c>
      <c r="N212" s="111">
        <f>M212*'GWPs &amp; Fuel EFs'!$E$11</f>
        <v>0</v>
      </c>
    </row>
    <row r="213" spans="1:14">
      <c r="A213" s="531" t="s">
        <v>222</v>
      </c>
      <c r="B213" s="239">
        <f>K215</f>
        <v>0</v>
      </c>
      <c r="C213" s="28"/>
      <c r="D213" s="109" t="s">
        <v>388</v>
      </c>
      <c r="E213" s="134" t="s">
        <v>41</v>
      </c>
      <c r="F213" s="135">
        <f>'GIS Heat Input'!E41</f>
        <v>0</v>
      </c>
      <c r="G213" s="93"/>
      <c r="H213" s="111">
        <f>F213*'GWPs &amp; Fuel EFs'!$N$8</f>
        <v>0</v>
      </c>
      <c r="I213" s="93"/>
      <c r="J213" s="111">
        <f>F213*'GWPs &amp; Fuel EFs'!$M$36</f>
        <v>0</v>
      </c>
      <c r="K213" s="111">
        <f>J213*'GWPs &amp; Fuel EFs'!$D$11</f>
        <v>0</v>
      </c>
      <c r="L213" s="93"/>
      <c r="M213" s="111">
        <f>F213*'GWPs &amp; Fuel EFs'!$M$64</f>
        <v>0</v>
      </c>
      <c r="N213" s="111">
        <f>M213*'GWPs &amp; Fuel EFs'!$E$11</f>
        <v>0</v>
      </c>
    </row>
    <row r="214" spans="1:14">
      <c r="A214" s="531" t="s">
        <v>223</v>
      </c>
      <c r="B214" s="239">
        <f>N215</f>
        <v>0</v>
      </c>
      <c r="C214" s="28"/>
      <c r="D214" s="109" t="s">
        <v>402</v>
      </c>
      <c r="E214" s="134" t="s">
        <v>19</v>
      </c>
      <c r="F214" s="135">
        <f>'GIS Heat Input'!E42</f>
        <v>0</v>
      </c>
      <c r="G214" s="93"/>
      <c r="H214" s="111">
        <f>F214*'GWPs &amp; Fuel EFs'!$N$9</f>
        <v>0</v>
      </c>
      <c r="I214" s="93"/>
      <c r="J214" s="111">
        <f>F214*'GWPs &amp; Fuel EFs'!$M$37</f>
        <v>0</v>
      </c>
      <c r="K214" s="111">
        <f>J214*'GWPs &amp; Fuel EFs'!$D$11</f>
        <v>0</v>
      </c>
      <c r="L214" s="93"/>
      <c r="M214" s="111">
        <f>F214*'GWPs &amp; Fuel EFs'!$M$65</f>
        <v>0</v>
      </c>
      <c r="N214" s="111">
        <f>M214*'GWPs &amp; Fuel EFs'!$E$11</f>
        <v>0</v>
      </c>
    </row>
    <row r="215" spans="1:14">
      <c r="A215" s="531" t="s">
        <v>224</v>
      </c>
      <c r="B215" s="239">
        <f>K223</f>
        <v>3312704.0623553833</v>
      </c>
      <c r="C215" s="28"/>
      <c r="D215" s="109"/>
      <c r="E215" s="113"/>
      <c r="F215" s="108"/>
      <c r="G215" s="93"/>
      <c r="H215" s="114">
        <f>SUM(H212:H214)</f>
        <v>0</v>
      </c>
      <c r="I215" s="93"/>
      <c r="J215" s="111"/>
      <c r="K215" s="114">
        <f>SUM(K212:K214)</f>
        <v>0</v>
      </c>
      <c r="L215" s="93"/>
      <c r="M215" s="111"/>
      <c r="N215" s="114">
        <f>SUM(N212:N214)</f>
        <v>0</v>
      </c>
    </row>
    <row r="216" spans="1:14">
      <c r="A216" s="531" t="s">
        <v>225</v>
      </c>
      <c r="B216" s="239">
        <f>N223</f>
        <v>19431855.505942021</v>
      </c>
      <c r="C216" s="28"/>
      <c r="D216" s="28"/>
      <c r="E216" s="93"/>
      <c r="F216" s="28"/>
      <c r="G216" s="93"/>
    </row>
    <row r="217" spans="1:14">
      <c r="A217" s="531"/>
      <c r="B217" s="531"/>
      <c r="C217" s="28"/>
      <c r="D217" s="28"/>
      <c r="E217" s="28"/>
      <c r="F217" s="28"/>
    </row>
    <row r="218" spans="1:14">
      <c r="A218" s="531"/>
      <c r="B218" s="531"/>
      <c r="C218" s="28"/>
      <c r="D218" s="90" t="s">
        <v>227</v>
      </c>
      <c r="E218" s="93"/>
      <c r="F218" s="108"/>
    </row>
    <row r="219" spans="1:14" ht="13">
      <c r="A219" s="240" t="s">
        <v>226</v>
      </c>
      <c r="B219" s="238">
        <f>H223</f>
        <v>1737486855.406198</v>
      </c>
      <c r="C219" s="28"/>
      <c r="D219" s="112" t="s">
        <v>396</v>
      </c>
      <c r="E219" s="134" t="s">
        <v>65</v>
      </c>
      <c r="F219" s="135">
        <f>'GIS Heat Input'!E44</f>
        <v>328753.32082320424</v>
      </c>
      <c r="G219" s="93"/>
      <c r="H219" s="111">
        <f>F219*'GWPs &amp; Fuel EFs'!$N$20</f>
        <v>37739138.779845648</v>
      </c>
      <c r="I219" s="93"/>
      <c r="J219" s="111">
        <f>F219*'GWPs &amp; Fuel EFs'!$M$48</f>
        <v>2319.28642395825</v>
      </c>
      <c r="K219" s="111">
        <f>J219*'GWPs &amp; Fuel EFs'!$D$11</f>
        <v>57982.160598956252</v>
      </c>
      <c r="L219" s="93"/>
      <c r="M219" s="111">
        <f>F219*'GWPs &amp; Fuel EFs'!$M$76</f>
        <v>456.60951471678044</v>
      </c>
      <c r="N219" s="111">
        <f>M219*'GWPs &amp; Fuel EFs'!$E$11</f>
        <v>136069.63538560056</v>
      </c>
    </row>
    <row r="220" spans="1:14">
      <c r="A220" s="531"/>
      <c r="B220" s="736"/>
      <c r="C220" s="28"/>
      <c r="D220" s="112" t="s">
        <v>399</v>
      </c>
      <c r="E220" s="134" t="s">
        <v>18</v>
      </c>
      <c r="F220" s="135">
        <f>'GIS Heat Input'!E45</f>
        <v>0</v>
      </c>
      <c r="G220" s="93"/>
      <c r="H220" s="111">
        <f>F220*'GWPs &amp; Fuel EFs'!$N$21</f>
        <v>0</v>
      </c>
      <c r="I220" s="93"/>
      <c r="J220" s="111">
        <f>F220*'GWPs &amp; Fuel EFs'!$M$49</f>
        <v>0</v>
      </c>
      <c r="K220" s="111">
        <f>J220*'GWPs &amp; Fuel EFs'!$D$11</f>
        <v>0</v>
      </c>
      <c r="L220" s="93"/>
      <c r="M220" s="111">
        <f>F220*'GWPs &amp; Fuel EFs'!$M$77</f>
        <v>0</v>
      </c>
      <c r="N220" s="111">
        <f>M220*'GWPs &amp; Fuel EFs'!$E$11</f>
        <v>0</v>
      </c>
    </row>
    <row r="221" spans="1:14">
      <c r="A221" s="531"/>
      <c r="B221" s="531"/>
      <c r="C221" s="28"/>
      <c r="D221" s="112" t="s">
        <v>404</v>
      </c>
      <c r="E221" s="134" t="s">
        <v>71</v>
      </c>
      <c r="F221" s="135">
        <f>'GIS Heat Input'!E46</f>
        <v>8130375.5147888474</v>
      </c>
      <c r="G221" s="93"/>
      <c r="H221" s="111">
        <f>F221*'GWPs &amp; Fuel EFs'!$N$23</f>
        <v>1681309636.3319783</v>
      </c>
      <c r="I221" s="93"/>
      <c r="J221" s="111">
        <f>F221*'GWPs &amp; Fuel EFs'!$M$51</f>
        <v>129055.75033678298</v>
      </c>
      <c r="K221" s="111">
        <f>J221*'GWPs &amp; Fuel EFs'!$D$11</f>
        <v>3226393.7584195742</v>
      </c>
      <c r="L221" s="93"/>
      <c r="M221" s="111">
        <f>F221*'GWPs &amp; Fuel EFs'!$M$79</f>
        <v>64527.875168391489</v>
      </c>
      <c r="N221" s="111">
        <f>M221*'GWPs &amp; Fuel EFs'!$E$11</f>
        <v>19229306.800180662</v>
      </c>
    </row>
    <row r="222" spans="1:14">
      <c r="A222" s="531"/>
      <c r="B222" s="531"/>
      <c r="C222" s="28"/>
      <c r="D222" s="120" t="s">
        <v>2425</v>
      </c>
      <c r="E222" s="134" t="s">
        <v>70</v>
      </c>
      <c r="F222" s="135">
        <f>'GIS Heat Input'!E47</f>
        <v>160617.87105797729</v>
      </c>
      <c r="G222" s="93"/>
      <c r="H222" s="111">
        <f>F222*'GWPs &amp; Fuel EFs'!$N$27</f>
        <v>18438080.294374067</v>
      </c>
      <c r="I222" s="93"/>
      <c r="J222" s="111">
        <f>F222*'GWPs &amp; Fuel EFs'!$M$55</f>
        <v>1133.1257334741122</v>
      </c>
      <c r="K222" s="111">
        <f>J222*'GWPs &amp; Fuel EFs'!$D$11</f>
        <v>28328.143336852805</v>
      </c>
      <c r="L222" s="93"/>
      <c r="M222" s="111">
        <f>F222*'GWPs &amp; Fuel EFs'!$M$83</f>
        <v>223.08412877771582</v>
      </c>
      <c r="N222" s="111">
        <f>M222*'GWPs &amp; Fuel EFs'!$E$11</f>
        <v>66479.070375759315</v>
      </c>
    </row>
    <row r="223" spans="1:14">
      <c r="A223" s="531"/>
      <c r="B223" s="531"/>
      <c r="C223" s="32"/>
      <c r="D223" s="120"/>
      <c r="E223" s="28"/>
      <c r="F223" s="108"/>
      <c r="G223" s="93"/>
      <c r="H223" s="115">
        <f>SUM(H219:H222)</f>
        <v>1737486855.406198</v>
      </c>
      <c r="I223" s="93"/>
      <c r="J223" s="93"/>
      <c r="K223" s="114">
        <f>SUM(K219:K222)</f>
        <v>3312704.0623553833</v>
      </c>
      <c r="L223" s="93"/>
      <c r="M223" s="93"/>
      <c r="N223" s="114">
        <f>SUM(N219:N222)</f>
        <v>19431855.505942021</v>
      </c>
    </row>
    <row r="224" spans="1:14">
      <c r="A224" s="531"/>
      <c r="B224" s="531"/>
      <c r="C224" s="32"/>
      <c r="D224" s="112"/>
      <c r="E224" s="113"/>
      <c r="F224" s="111"/>
      <c r="G224" s="119"/>
    </row>
    <row r="225" spans="1:14">
      <c r="A225" s="737"/>
      <c r="B225" s="737"/>
      <c r="C225" s="737"/>
      <c r="D225" s="737"/>
      <c r="E225" s="737"/>
      <c r="F225" s="737"/>
      <c r="G225" s="241"/>
      <c r="H225" s="241"/>
      <c r="I225" s="241"/>
      <c r="J225" s="241"/>
      <c r="K225" s="241"/>
      <c r="L225" s="241"/>
      <c r="M225" s="241"/>
      <c r="N225" s="241"/>
    </row>
    <row r="226" spans="1:14" ht="13">
      <c r="A226" s="233" t="s">
        <v>2886</v>
      </c>
      <c r="B226" s="234"/>
      <c r="C226" s="28"/>
      <c r="D226" s="105" t="s">
        <v>229</v>
      </c>
      <c r="E226" s="105"/>
      <c r="F226" s="105"/>
      <c r="G226" s="93"/>
      <c r="H226" s="105" t="s">
        <v>229</v>
      </c>
      <c r="I226" s="93"/>
      <c r="J226" s="105" t="s">
        <v>229</v>
      </c>
      <c r="K226" s="105"/>
      <c r="L226" s="93"/>
      <c r="M226" s="105" t="s">
        <v>229</v>
      </c>
      <c r="N226" s="105"/>
    </row>
    <row r="227" spans="1:14" ht="13">
      <c r="A227" s="234">
        <f>A173</f>
        <v>2019</v>
      </c>
      <c r="B227" s="234"/>
      <c r="C227" s="28"/>
      <c r="D227" s="105" t="s">
        <v>213</v>
      </c>
      <c r="E227" s="105"/>
      <c r="F227" s="105"/>
      <c r="G227" s="93"/>
      <c r="H227" s="105" t="s">
        <v>214</v>
      </c>
      <c r="I227" s="93"/>
      <c r="J227" s="105" t="s">
        <v>215</v>
      </c>
      <c r="K227" s="105"/>
      <c r="L227" s="93"/>
      <c r="M227" s="105" t="s">
        <v>216</v>
      </c>
      <c r="N227" s="105"/>
    </row>
    <row r="228" spans="1:14" ht="35.5">
      <c r="A228" s="235"/>
      <c r="B228" s="236" t="s">
        <v>341</v>
      </c>
      <c r="C228" s="735"/>
      <c r="D228" s="107" t="s">
        <v>217</v>
      </c>
      <c r="E228" s="107" t="s">
        <v>218</v>
      </c>
      <c r="F228" s="107" t="str">
        <f>F174</f>
        <v>Net Heat Input Out of State from MSS Meters</v>
      </c>
      <c r="G228" s="93"/>
      <c r="H228" s="92" t="s">
        <v>339</v>
      </c>
      <c r="I228" s="106"/>
      <c r="J228" s="90" t="s">
        <v>340</v>
      </c>
      <c r="K228" s="91" t="s">
        <v>341</v>
      </c>
      <c r="L228" s="106"/>
      <c r="M228" s="90" t="s">
        <v>342</v>
      </c>
      <c r="N228" s="91" t="s">
        <v>341</v>
      </c>
    </row>
    <row r="229" spans="1:14" ht="13">
      <c r="A229" s="237" t="s">
        <v>220</v>
      </c>
      <c r="B229" s="238">
        <f>SUM(B230:B234)</f>
        <v>183437040.85383847</v>
      </c>
      <c r="C229" s="28"/>
      <c r="D229" s="90" t="s">
        <v>221</v>
      </c>
      <c r="E229" s="90"/>
      <c r="F229" s="90"/>
      <c r="G229" s="93"/>
      <c r="H229" s="93"/>
      <c r="I229" s="93"/>
      <c r="J229" s="106"/>
      <c r="K229" s="106"/>
      <c r="L229" s="93"/>
      <c r="M229" s="106"/>
      <c r="N229" s="106"/>
    </row>
    <row r="230" spans="1:14">
      <c r="A230" s="531" t="s">
        <v>1472</v>
      </c>
      <c r="B230" s="239">
        <f>H233</f>
        <v>154545610.80264813</v>
      </c>
      <c r="C230" s="28"/>
      <c r="D230" s="109" t="s">
        <v>2686</v>
      </c>
      <c r="E230" s="134" t="s">
        <v>48</v>
      </c>
      <c r="F230" s="135">
        <f>'GIS Heat Input'!E52</f>
        <v>0</v>
      </c>
      <c r="G230" s="93"/>
      <c r="H230" s="111">
        <f>F230*'GWPs &amp; Fuel EFs'!$N$7</f>
        <v>0</v>
      </c>
      <c r="I230" s="93"/>
      <c r="J230" s="111">
        <f>F230*'GWPs &amp; Fuel EFs'!$M$35</f>
        <v>0</v>
      </c>
      <c r="K230" s="111">
        <f>J230*'GWPs &amp; Fuel EFs'!$D$11</f>
        <v>0</v>
      </c>
      <c r="L230" s="93"/>
      <c r="M230" s="111">
        <f>F230*'GWPs &amp; Fuel EFs'!$M$63</f>
        <v>0</v>
      </c>
      <c r="N230" s="111">
        <f>M230*'GWPs &amp; Fuel EFs'!$E$11</f>
        <v>0</v>
      </c>
    </row>
    <row r="231" spans="1:14">
      <c r="A231" s="531" t="s">
        <v>222</v>
      </c>
      <c r="B231" s="239">
        <f>K233</f>
        <v>1264004.4504033376</v>
      </c>
      <c r="C231" s="28"/>
      <c r="D231" s="109" t="s">
        <v>388</v>
      </c>
      <c r="E231" s="134" t="s">
        <v>41</v>
      </c>
      <c r="F231" s="135">
        <f>'GIS Heat Input'!E53</f>
        <v>0</v>
      </c>
      <c r="G231" s="93"/>
      <c r="H231" s="111">
        <f>F231*'GWPs &amp; Fuel EFs'!$N$8</f>
        <v>0</v>
      </c>
      <c r="I231" s="93"/>
      <c r="J231" s="111">
        <f>F231*'GWPs &amp; Fuel EFs'!$M$36</f>
        <v>0</v>
      </c>
      <c r="K231" s="111">
        <f>J231*'GWPs &amp; Fuel EFs'!$D$11</f>
        <v>0</v>
      </c>
      <c r="L231" s="93"/>
      <c r="M231" s="111">
        <f>F231*'GWPs &amp; Fuel EFs'!$M$64</f>
        <v>0</v>
      </c>
      <c r="N231" s="111">
        <f>M231*'GWPs &amp; Fuel EFs'!$E$11</f>
        <v>0</v>
      </c>
    </row>
    <row r="232" spans="1:14">
      <c r="A232" s="531" t="s">
        <v>223</v>
      </c>
      <c r="B232" s="239">
        <f>N233</f>
        <v>2008924.4065077053</v>
      </c>
      <c r="C232" s="28"/>
      <c r="D232" s="109" t="s">
        <v>402</v>
      </c>
      <c r="E232" s="134" t="s">
        <v>19</v>
      </c>
      <c r="F232" s="135">
        <f>'GIS Heat Input'!E54</f>
        <v>762700.49002259644</v>
      </c>
      <c r="G232" s="93"/>
      <c r="H232" s="111">
        <f>F232*'GWPs &amp; Fuel EFs'!$N$9</f>
        <v>154545610.80264813</v>
      </c>
      <c r="I232" s="93"/>
      <c r="J232" s="111">
        <f>F232*'GWPs &amp; Fuel EFs'!$M$37</f>
        <v>50560.178016133505</v>
      </c>
      <c r="K232" s="111">
        <f>J232*'GWPs &amp; Fuel EFs'!$D$11</f>
        <v>1264004.4504033376</v>
      </c>
      <c r="L232" s="93"/>
      <c r="M232" s="111">
        <f>F232*'GWPs &amp; Fuel EFs'!$M$65</f>
        <v>6741.3570688178033</v>
      </c>
      <c r="N232" s="111">
        <f>M232*'GWPs &amp; Fuel EFs'!$E$11</f>
        <v>2008924.4065077053</v>
      </c>
    </row>
    <row r="233" spans="1:14">
      <c r="A233" s="531" t="s">
        <v>224</v>
      </c>
      <c r="B233" s="239">
        <f>K241</f>
        <v>4302380.3971902402</v>
      </c>
      <c r="C233" s="28"/>
      <c r="D233" s="109"/>
      <c r="E233" s="113"/>
      <c r="F233" s="108"/>
      <c r="G233" s="93"/>
      <c r="H233" s="114">
        <f>SUM(H230:H232)</f>
        <v>154545610.80264813</v>
      </c>
      <c r="I233" s="93"/>
      <c r="J233" s="111"/>
      <c r="K233" s="114">
        <f>SUM(K230:K232)</f>
        <v>1264004.4504033376</v>
      </c>
      <c r="L233" s="93"/>
      <c r="M233" s="111"/>
      <c r="N233" s="114">
        <f>SUM(N230:N232)</f>
        <v>2008924.4065077053</v>
      </c>
    </row>
    <row r="234" spans="1:14">
      <c r="A234" s="531" t="s">
        <v>225</v>
      </c>
      <c r="B234" s="239">
        <f>N241</f>
        <v>21316120.797089074</v>
      </c>
      <c r="C234" s="28"/>
      <c r="D234" s="28"/>
      <c r="E234" s="93"/>
      <c r="F234" s="28"/>
    </row>
    <row r="235" spans="1:14">
      <c r="A235" s="531"/>
      <c r="B235" s="531"/>
      <c r="C235" s="28"/>
      <c r="D235" s="28"/>
      <c r="E235" s="28"/>
      <c r="F235" s="28"/>
    </row>
    <row r="236" spans="1:14" ht="13">
      <c r="A236" s="240" t="s">
        <v>226</v>
      </c>
      <c r="B236" s="238">
        <f>H241</f>
        <v>1863674849.9249279</v>
      </c>
      <c r="C236" s="28"/>
      <c r="D236" s="90" t="s">
        <v>227</v>
      </c>
      <c r="E236" s="93"/>
      <c r="F236" s="108"/>
      <c r="G236" s="93"/>
      <c r="H236" s="114"/>
      <c r="I236" s="93"/>
      <c r="J236" s="111"/>
      <c r="K236" s="114"/>
      <c r="L236" s="93"/>
      <c r="M236" s="111"/>
      <c r="N236" s="114"/>
    </row>
    <row r="237" spans="1:14">
      <c r="A237" s="531"/>
      <c r="B237" s="736"/>
      <c r="C237" s="28"/>
      <c r="D237" s="112" t="s">
        <v>396</v>
      </c>
      <c r="E237" s="134" t="s">
        <v>65</v>
      </c>
      <c r="F237" s="135">
        <f>'GIS Heat Input'!E56</f>
        <v>68960.92511739023</v>
      </c>
      <c r="G237" s="93"/>
      <c r="H237" s="111">
        <f>F237*'GWPs &amp; Fuel EFs'!$N$20</f>
        <v>7916348.6983947763</v>
      </c>
      <c r="I237" s="93"/>
      <c r="J237" s="111">
        <f>F237*'GWPs &amp; Fuel EFs'!$M$48</f>
        <v>486.5050093117589</v>
      </c>
      <c r="K237" s="111">
        <f>J237*'GWPs &amp; Fuel EFs'!$D$11</f>
        <v>12162.625232793973</v>
      </c>
      <c r="L237" s="93"/>
      <c r="M237" s="111">
        <f>F237*'GWPs &amp; Fuel EFs'!$M$76</f>
        <v>95.780673708252522</v>
      </c>
      <c r="N237" s="111">
        <f>M237*'GWPs &amp; Fuel EFs'!$E$11</f>
        <v>28542.640765059252</v>
      </c>
    </row>
    <row r="238" spans="1:14">
      <c r="A238" s="531"/>
      <c r="B238" s="531"/>
      <c r="C238" s="28"/>
      <c r="D238" s="112" t="s">
        <v>399</v>
      </c>
      <c r="E238" s="134" t="s">
        <v>18</v>
      </c>
      <c r="F238" s="135">
        <f>'GIS Heat Input'!E57</f>
        <v>624018.75413419353</v>
      </c>
      <c r="G238" s="93"/>
      <c r="H238" s="111">
        <f>F238*'GWPs &amp; Fuel EFs'!$N$21</f>
        <v>130632085.55650906</v>
      </c>
      <c r="I238" s="93"/>
      <c r="J238" s="111">
        <f>F238*'GWPs &amp; Fuel EFs'!$M$49</f>
        <v>39189.625666952714</v>
      </c>
      <c r="K238" s="111">
        <f>J238*'GWPs &amp; Fuel EFs'!$D$11</f>
        <v>979740.64167381788</v>
      </c>
      <c r="L238" s="93"/>
      <c r="M238" s="111">
        <f>F238*'GWPs &amp; Fuel EFs'!$M$77</f>
        <v>5225.2834222603624</v>
      </c>
      <c r="N238" s="111">
        <f>M238*'GWPs &amp; Fuel EFs'!$E$11</f>
        <v>1557134.459833588</v>
      </c>
    </row>
    <row r="239" spans="1:14">
      <c r="A239" s="531"/>
      <c r="B239" s="531"/>
      <c r="C239" s="28"/>
      <c r="D239" s="112" t="s">
        <v>404</v>
      </c>
      <c r="E239" s="134" t="s">
        <v>71</v>
      </c>
      <c r="F239" s="135">
        <f>'GIS Heat Input'!E58</f>
        <v>8342262.0478632422</v>
      </c>
      <c r="G239" s="118"/>
      <c r="H239" s="111">
        <f>F239*'GWPs &amp; Fuel EFs'!$N$23</f>
        <v>1725126415.6700242</v>
      </c>
      <c r="I239" s="93"/>
      <c r="J239" s="111">
        <f>F239*'GWPs &amp; Fuel EFs'!$M$51</f>
        <v>132419.08521134514</v>
      </c>
      <c r="K239" s="111">
        <f>J239*'GWPs &amp; Fuel EFs'!$D$11</f>
        <v>3310477.1302836286</v>
      </c>
      <c r="L239" s="93"/>
      <c r="M239" s="111">
        <f>F239*'GWPs &amp; Fuel EFs'!$M$79</f>
        <v>66209.54260567257</v>
      </c>
      <c r="N239" s="111">
        <f>M239*'GWPs &amp; Fuel EFs'!$E$11</f>
        <v>19730443.696490426</v>
      </c>
    </row>
    <row r="240" spans="1:14" ht="13">
      <c r="A240" s="240"/>
      <c r="B240" s="238"/>
      <c r="C240" s="28"/>
      <c r="D240" s="120" t="s">
        <v>2425</v>
      </c>
      <c r="E240" s="134" t="s">
        <v>70</v>
      </c>
      <c r="F240" s="135">
        <f>'GIS Heat Input'!E59</f>
        <v>0</v>
      </c>
      <c r="G240" s="93"/>
      <c r="H240" s="111">
        <f>F240*'GWPs &amp; Fuel EFs'!$N$27</f>
        <v>0</v>
      </c>
      <c r="I240" s="93"/>
      <c r="J240" s="111">
        <f>F240*'GWPs &amp; Fuel EFs'!$M$55</f>
        <v>0</v>
      </c>
      <c r="K240" s="111">
        <f>J240*'GWPs &amp; Fuel EFs'!$D$11</f>
        <v>0</v>
      </c>
      <c r="L240" s="93"/>
      <c r="M240" s="111">
        <f>F240*'GWPs &amp; Fuel EFs'!$M$83</f>
        <v>0</v>
      </c>
      <c r="N240" s="111">
        <f>M240*'GWPs &amp; Fuel EFs'!$E$11</f>
        <v>0</v>
      </c>
    </row>
    <row r="241" spans="1:14">
      <c r="A241" s="531"/>
      <c r="B241" s="739"/>
      <c r="C241" s="28"/>
      <c r="D241" s="120"/>
      <c r="E241" s="28"/>
      <c r="F241" s="108"/>
      <c r="G241" s="93"/>
      <c r="H241" s="115">
        <f>SUM(H237:H239)</f>
        <v>1863674849.9249279</v>
      </c>
      <c r="I241" s="93"/>
      <c r="J241" s="111"/>
      <c r="K241" s="114">
        <f>SUM(K237:K239)</f>
        <v>4302380.3971902402</v>
      </c>
      <c r="L241" s="93"/>
      <c r="M241" s="111"/>
      <c r="N241" s="114">
        <f>SUM(N237:N239)</f>
        <v>21316120.797089074</v>
      </c>
    </row>
    <row r="242" spans="1:14">
      <c r="A242" s="531"/>
      <c r="B242" s="531"/>
      <c r="C242" s="28"/>
      <c r="D242" s="28"/>
      <c r="E242" s="28"/>
      <c r="F242" s="111"/>
    </row>
    <row r="243" spans="1:14">
      <c r="A243" s="737"/>
      <c r="B243" s="737"/>
      <c r="C243" s="737"/>
      <c r="D243" s="737"/>
      <c r="E243" s="737"/>
      <c r="F243" s="737"/>
      <c r="G243" s="241"/>
      <c r="H243" s="241"/>
      <c r="I243" s="241"/>
      <c r="J243" s="241"/>
      <c r="K243" s="241"/>
      <c r="L243" s="241"/>
      <c r="M243" s="241"/>
      <c r="N243" s="241"/>
    </row>
    <row r="244" spans="1:14" ht="13">
      <c r="A244" s="233" t="s">
        <v>2889</v>
      </c>
      <c r="B244" s="233"/>
      <c r="C244" s="28"/>
      <c r="D244" s="105" t="s">
        <v>231</v>
      </c>
      <c r="E244" s="105"/>
      <c r="F244" s="105"/>
      <c r="G244" s="93"/>
      <c r="H244" s="105" t="s">
        <v>231</v>
      </c>
      <c r="I244" s="93"/>
      <c r="J244" s="105" t="s">
        <v>231</v>
      </c>
      <c r="K244" s="105"/>
      <c r="L244" s="93"/>
      <c r="M244" s="105" t="s">
        <v>231</v>
      </c>
      <c r="N244" s="105"/>
    </row>
    <row r="245" spans="1:14" ht="13">
      <c r="A245" s="234">
        <f>A173</f>
        <v>2019</v>
      </c>
      <c r="B245" s="234"/>
      <c r="C245" s="28"/>
      <c r="D245" s="105" t="s">
        <v>213</v>
      </c>
      <c r="E245" s="105"/>
      <c r="F245" s="105"/>
      <c r="G245" s="93"/>
      <c r="H245" s="105" t="s">
        <v>214</v>
      </c>
      <c r="I245" s="93"/>
      <c r="J245" s="105" t="s">
        <v>215</v>
      </c>
      <c r="K245" s="105"/>
      <c r="L245" s="93"/>
      <c r="M245" s="105" t="s">
        <v>216</v>
      </c>
      <c r="N245" s="105"/>
    </row>
    <row r="246" spans="1:14" ht="35.5">
      <c r="A246" s="235"/>
      <c r="B246" s="236" t="s">
        <v>341</v>
      </c>
      <c r="C246" s="735"/>
      <c r="D246" s="107" t="s">
        <v>217</v>
      </c>
      <c r="E246" s="107" t="s">
        <v>218</v>
      </c>
      <c r="F246" s="107" t="str">
        <f>F192</f>
        <v>Net Heat Input Out of State from MSS Meters</v>
      </c>
      <c r="G246" s="93"/>
      <c r="H246" s="92" t="s">
        <v>339</v>
      </c>
      <c r="I246" s="106"/>
      <c r="J246" s="90" t="s">
        <v>340</v>
      </c>
      <c r="K246" s="91" t="s">
        <v>341</v>
      </c>
      <c r="L246" s="106"/>
      <c r="M246" s="90" t="s">
        <v>342</v>
      </c>
      <c r="N246" s="91" t="s">
        <v>341</v>
      </c>
    </row>
    <row r="247" spans="1:14" ht="13">
      <c r="A247" s="237" t="s">
        <v>220</v>
      </c>
      <c r="B247" s="238">
        <f>SUM(B248:B252)</f>
        <v>0</v>
      </c>
      <c r="C247" s="28"/>
      <c r="D247" s="90" t="s">
        <v>221</v>
      </c>
      <c r="E247" s="90"/>
      <c r="F247" s="90"/>
      <c r="G247" s="93"/>
      <c r="H247" s="93"/>
      <c r="I247" s="93"/>
      <c r="J247" s="106"/>
      <c r="K247" s="106"/>
      <c r="L247" s="93"/>
      <c r="M247" s="106"/>
      <c r="N247" s="106"/>
    </row>
    <row r="248" spans="1:14">
      <c r="A248" s="531" t="s">
        <v>1471</v>
      </c>
      <c r="B248" s="239">
        <f>H251</f>
        <v>0</v>
      </c>
      <c r="C248" s="28"/>
      <c r="D248" s="109" t="s">
        <v>2686</v>
      </c>
      <c r="E248" s="134" t="s">
        <v>48</v>
      </c>
      <c r="F248" s="135">
        <f>'GIS Heat Input'!E64</f>
        <v>0</v>
      </c>
      <c r="G248" s="93"/>
      <c r="H248" s="111">
        <f>F248*'GWPs &amp; Fuel EFs'!$N$7</f>
        <v>0</v>
      </c>
      <c r="I248" s="93"/>
      <c r="J248" s="111">
        <f>F248*'GWPs &amp; Fuel EFs'!$M$35</f>
        <v>0</v>
      </c>
      <c r="K248" s="111">
        <f>J248*'GWPs &amp; Fuel EFs'!$D$11</f>
        <v>0</v>
      </c>
      <c r="L248" s="93"/>
      <c r="M248" s="111">
        <f>F248*'GWPs &amp; Fuel EFs'!$M$63</f>
        <v>0</v>
      </c>
      <c r="N248" s="111">
        <f>M248*'GWPs &amp; Fuel EFs'!$E$11</f>
        <v>0</v>
      </c>
    </row>
    <row r="249" spans="1:14">
      <c r="A249" s="531" t="s">
        <v>222</v>
      </c>
      <c r="B249" s="239">
        <f>K251</f>
        <v>0</v>
      </c>
      <c r="C249" s="28"/>
      <c r="D249" s="109" t="s">
        <v>388</v>
      </c>
      <c r="E249" s="134" t="s">
        <v>41</v>
      </c>
      <c r="F249" s="135">
        <f>'GIS Heat Input'!E65</f>
        <v>0</v>
      </c>
      <c r="G249" s="93"/>
      <c r="H249" s="111">
        <f>F249*'GWPs &amp; Fuel EFs'!$N$8</f>
        <v>0</v>
      </c>
      <c r="I249" s="93"/>
      <c r="J249" s="111">
        <f>F249*'GWPs &amp; Fuel EFs'!$M$36</f>
        <v>0</v>
      </c>
      <c r="K249" s="111">
        <f>J249*'GWPs &amp; Fuel EFs'!$D$11</f>
        <v>0</v>
      </c>
      <c r="L249" s="93"/>
      <c r="M249" s="111">
        <f>F249*'GWPs &amp; Fuel EFs'!$M$64</f>
        <v>0</v>
      </c>
      <c r="N249" s="111">
        <f>M249*'GWPs &amp; Fuel EFs'!$E$11</f>
        <v>0</v>
      </c>
    </row>
    <row r="250" spans="1:14">
      <c r="A250" s="531" t="s">
        <v>223</v>
      </c>
      <c r="B250" s="239">
        <f>N251</f>
        <v>0</v>
      </c>
      <c r="C250" s="28"/>
      <c r="D250" s="109" t="s">
        <v>402</v>
      </c>
      <c r="E250" s="134" t="s">
        <v>19</v>
      </c>
      <c r="F250" s="135">
        <f>'GIS Heat Input'!E66</f>
        <v>0</v>
      </c>
      <c r="G250" s="93"/>
      <c r="H250" s="111">
        <f>F250*'GWPs &amp; Fuel EFs'!$N$9</f>
        <v>0</v>
      </c>
      <c r="I250" s="93"/>
      <c r="J250" s="111">
        <f>F250*'GWPs &amp; Fuel EFs'!$M$37</f>
        <v>0</v>
      </c>
      <c r="K250" s="111">
        <f>J250*'GWPs &amp; Fuel EFs'!$D$11</f>
        <v>0</v>
      </c>
      <c r="L250" s="93"/>
      <c r="M250" s="111">
        <f>F250*'GWPs &amp; Fuel EFs'!$M$65</f>
        <v>0</v>
      </c>
      <c r="N250" s="111">
        <f>M250*'GWPs &amp; Fuel EFs'!$E$11</f>
        <v>0</v>
      </c>
    </row>
    <row r="251" spans="1:14">
      <c r="A251" s="531" t="s">
        <v>224</v>
      </c>
      <c r="B251" s="239">
        <f>K259</f>
        <v>0</v>
      </c>
      <c r="C251" s="28"/>
      <c r="D251" s="109"/>
      <c r="E251" s="113"/>
      <c r="F251" s="113"/>
      <c r="G251" s="93"/>
      <c r="H251" s="114">
        <f>SUM(H248:H250)</f>
        <v>0</v>
      </c>
      <c r="I251" s="93"/>
      <c r="J251" s="111"/>
      <c r="K251" s="114">
        <f>SUM(K248:K250)</f>
        <v>0</v>
      </c>
      <c r="L251" s="93"/>
      <c r="M251" s="111"/>
      <c r="N251" s="114">
        <f>SUM(N248:N250)</f>
        <v>0</v>
      </c>
    </row>
    <row r="252" spans="1:14">
      <c r="A252" s="531" t="s">
        <v>225</v>
      </c>
      <c r="B252" s="239">
        <f>N259</f>
        <v>0</v>
      </c>
      <c r="C252" s="28"/>
      <c r="D252" s="28"/>
      <c r="E252" s="93"/>
      <c r="F252" s="93"/>
    </row>
    <row r="253" spans="1:14">
      <c r="A253" s="531"/>
      <c r="B253" s="531"/>
      <c r="C253" s="28"/>
      <c r="D253" s="28"/>
      <c r="E253" s="28"/>
      <c r="F253" s="28"/>
    </row>
    <row r="254" spans="1:14" ht="13">
      <c r="A254" s="240" t="s">
        <v>226</v>
      </c>
      <c r="B254" s="238">
        <f>H259</f>
        <v>0</v>
      </c>
      <c r="C254" s="28"/>
      <c r="D254" s="90" t="s">
        <v>227</v>
      </c>
      <c r="E254" s="93"/>
      <c r="F254" s="93"/>
      <c r="G254" s="93"/>
      <c r="H254" s="114"/>
      <c r="I254" s="93"/>
      <c r="J254" s="111"/>
      <c r="K254" s="114"/>
      <c r="L254" s="93"/>
      <c r="M254" s="111"/>
      <c r="N254" s="114"/>
    </row>
    <row r="255" spans="1:14">
      <c r="A255" s="531"/>
      <c r="B255" s="736"/>
      <c r="C255" s="28"/>
      <c r="D255" s="112" t="s">
        <v>396</v>
      </c>
      <c r="E255" s="134" t="s">
        <v>65</v>
      </c>
      <c r="F255" s="135">
        <f>'GIS Heat Input'!E68</f>
        <v>0</v>
      </c>
      <c r="G255" s="93"/>
      <c r="H255" s="111">
        <f>F255*'GWPs &amp; Fuel EFs'!$N$20</f>
        <v>0</v>
      </c>
      <c r="I255" s="93"/>
      <c r="J255" s="111">
        <f>F255*'GWPs &amp; Fuel EFs'!$M$48</f>
        <v>0</v>
      </c>
      <c r="K255" s="111">
        <f>J255*'GWPs &amp; Fuel EFs'!$D$11</f>
        <v>0</v>
      </c>
      <c r="L255" s="93"/>
      <c r="M255" s="111">
        <f>F255*'GWPs &amp; Fuel EFs'!$M$76</f>
        <v>0</v>
      </c>
      <c r="N255" s="111">
        <f>M255*'GWPs &amp; Fuel EFs'!$E$11</f>
        <v>0</v>
      </c>
    </row>
    <row r="256" spans="1:14">
      <c r="A256" s="531"/>
      <c r="B256" s="531"/>
      <c r="C256" s="28"/>
      <c r="D256" s="112" t="s">
        <v>399</v>
      </c>
      <c r="E256" s="134" t="s">
        <v>18</v>
      </c>
      <c r="F256" s="135">
        <f>'GIS Heat Input'!E69</f>
        <v>0</v>
      </c>
      <c r="G256" s="93"/>
      <c r="H256" s="111">
        <f>F256*'GWPs &amp; Fuel EFs'!$N$21</f>
        <v>0</v>
      </c>
      <c r="I256" s="93"/>
      <c r="J256" s="111">
        <f>F256*'GWPs &amp; Fuel EFs'!$M$49</f>
        <v>0</v>
      </c>
      <c r="K256" s="111">
        <f>J256*'GWPs &amp; Fuel EFs'!$D$11</f>
        <v>0</v>
      </c>
      <c r="L256" s="93"/>
      <c r="M256" s="111">
        <f>F256*'GWPs &amp; Fuel EFs'!$M$77</f>
        <v>0</v>
      </c>
      <c r="N256" s="111">
        <f>M256*'GWPs &amp; Fuel EFs'!$E$11</f>
        <v>0</v>
      </c>
    </row>
    <row r="257" spans="1:14">
      <c r="A257" s="531"/>
      <c r="B257" s="531"/>
      <c r="C257" s="28"/>
      <c r="D257" s="112" t="s">
        <v>404</v>
      </c>
      <c r="E257" s="134" t="s">
        <v>71</v>
      </c>
      <c r="F257" s="135">
        <f>'GIS Heat Input'!E70</f>
        <v>0</v>
      </c>
      <c r="G257" s="93"/>
      <c r="H257" s="111">
        <f>F257*'GWPs &amp; Fuel EFs'!$N$23</f>
        <v>0</v>
      </c>
      <c r="I257" s="93"/>
      <c r="J257" s="111">
        <f>F257*'GWPs &amp; Fuel EFs'!$M$51</f>
        <v>0</v>
      </c>
      <c r="K257" s="111">
        <f>J257*'GWPs &amp; Fuel EFs'!$D$11</f>
        <v>0</v>
      </c>
      <c r="L257" s="93"/>
      <c r="M257" s="111">
        <f>F257*'GWPs &amp; Fuel EFs'!$M$79</f>
        <v>0</v>
      </c>
      <c r="N257" s="111">
        <f>M257*'GWPs &amp; Fuel EFs'!$E$11</f>
        <v>0</v>
      </c>
    </row>
    <row r="258" spans="1:14">
      <c r="A258" s="531"/>
      <c r="B258" s="531"/>
      <c r="C258" s="32"/>
      <c r="D258" s="120" t="s">
        <v>2425</v>
      </c>
      <c r="E258" s="134" t="s">
        <v>70</v>
      </c>
      <c r="F258" s="135">
        <f>'GIS Heat Input'!E71</f>
        <v>0</v>
      </c>
      <c r="G258" s="93"/>
      <c r="H258" s="111">
        <f>F258*'GWPs &amp; Fuel EFs'!$N$27</f>
        <v>0</v>
      </c>
      <c r="I258" s="93"/>
      <c r="J258" s="111">
        <f>F258*'GWPs &amp; Fuel EFs'!$M$55</f>
        <v>0</v>
      </c>
      <c r="K258" s="111">
        <f>J258*'GWPs &amp; Fuel EFs'!$D$11</f>
        <v>0</v>
      </c>
      <c r="L258" s="93"/>
      <c r="M258" s="111">
        <f>F258*'GWPs &amp; Fuel EFs'!$M$83</f>
        <v>0</v>
      </c>
      <c r="N258" s="111">
        <f>M258*'GWPs &amp; Fuel EFs'!$E$11</f>
        <v>0</v>
      </c>
    </row>
    <row r="259" spans="1:14">
      <c r="A259" s="531"/>
      <c r="B259" s="736"/>
      <c r="C259" s="28"/>
      <c r="D259" s="93"/>
      <c r="E259" s="93"/>
      <c r="F259" s="108"/>
      <c r="G259" s="93"/>
      <c r="H259" s="115">
        <f>SUM(H255:H258)</f>
        <v>0</v>
      </c>
      <c r="I259" s="93"/>
      <c r="J259" s="93"/>
      <c r="K259" s="114">
        <f>SUM(K255:K258)</f>
        <v>0</v>
      </c>
      <c r="L259" s="93"/>
      <c r="M259" s="93"/>
      <c r="N259" s="114">
        <f>SUM(N255:N258)</f>
        <v>0</v>
      </c>
    </row>
    <row r="260" spans="1:14">
      <c r="A260" s="531"/>
      <c r="B260" s="531"/>
      <c r="C260" s="28"/>
      <c r="D260" s="28"/>
      <c r="E260" s="28"/>
      <c r="F260" s="28"/>
    </row>
    <row r="261" spans="1:14">
      <c r="A261" s="737"/>
      <c r="B261" s="737"/>
      <c r="C261" s="737"/>
      <c r="D261" s="737"/>
      <c r="E261" s="737"/>
      <c r="F261" s="737"/>
      <c r="G261" s="241"/>
      <c r="H261" s="241"/>
      <c r="I261" s="241"/>
      <c r="J261" s="241"/>
      <c r="K261" s="241"/>
      <c r="L261" s="241"/>
      <c r="M261" s="241"/>
      <c r="N261" s="241"/>
    </row>
    <row r="262" spans="1:14" ht="13">
      <c r="A262" s="233" t="s">
        <v>2890</v>
      </c>
      <c r="B262" s="233"/>
      <c r="C262" s="28"/>
      <c r="D262" s="105" t="s">
        <v>230</v>
      </c>
      <c r="E262" s="105"/>
      <c r="F262" s="105"/>
      <c r="G262" s="93"/>
      <c r="H262" s="105" t="s">
        <v>230</v>
      </c>
      <c r="I262" s="93"/>
      <c r="J262" s="105" t="s">
        <v>230</v>
      </c>
      <c r="K262" s="105"/>
      <c r="L262" s="93"/>
      <c r="M262" s="105" t="s">
        <v>230</v>
      </c>
      <c r="N262" s="105"/>
    </row>
    <row r="263" spans="1:14" ht="13">
      <c r="A263" s="234">
        <f>A191</f>
        <v>2019</v>
      </c>
      <c r="B263" s="234"/>
      <c r="C263" s="33"/>
      <c r="D263" s="105" t="s">
        <v>213</v>
      </c>
      <c r="E263" s="105"/>
      <c r="F263" s="105"/>
      <c r="G263" s="93"/>
      <c r="H263" s="105" t="s">
        <v>214</v>
      </c>
      <c r="I263" s="93"/>
      <c r="J263" s="105" t="s">
        <v>215</v>
      </c>
      <c r="K263" s="105"/>
      <c r="L263" s="93"/>
      <c r="M263" s="105" t="s">
        <v>216</v>
      </c>
      <c r="N263" s="105"/>
    </row>
    <row r="264" spans="1:14" ht="35.5">
      <c r="A264" s="235"/>
      <c r="B264" s="236" t="s">
        <v>341</v>
      </c>
      <c r="C264" s="735"/>
      <c r="D264" s="107" t="s">
        <v>217</v>
      </c>
      <c r="E264" s="107" t="s">
        <v>218</v>
      </c>
      <c r="F264" s="107" t="str">
        <f>F192</f>
        <v>Net Heat Input Out of State from MSS Meters</v>
      </c>
      <c r="G264" s="93"/>
      <c r="H264" s="92" t="s">
        <v>339</v>
      </c>
      <c r="I264" s="106"/>
      <c r="J264" s="90" t="s">
        <v>340</v>
      </c>
      <c r="K264" s="91" t="s">
        <v>341</v>
      </c>
      <c r="L264" s="106"/>
      <c r="M264" s="90" t="s">
        <v>342</v>
      </c>
      <c r="N264" s="91" t="s">
        <v>341</v>
      </c>
    </row>
    <row r="265" spans="1:14" ht="13">
      <c r="A265" s="237" t="s">
        <v>220</v>
      </c>
      <c r="B265" s="238">
        <f>SUM(B266:B270)+F269+F270</f>
        <v>15636142.72158158</v>
      </c>
      <c r="C265" s="33"/>
      <c r="D265" s="90" t="s">
        <v>221</v>
      </c>
      <c r="E265" s="90"/>
      <c r="F265" s="90"/>
      <c r="G265" s="93"/>
      <c r="H265" s="93"/>
      <c r="I265" s="93"/>
      <c r="J265" s="106"/>
      <c r="K265" s="106"/>
      <c r="L265" s="93"/>
      <c r="M265" s="106"/>
      <c r="N265" s="106"/>
    </row>
    <row r="266" spans="1:14">
      <c r="A266" s="531" t="s">
        <v>1471</v>
      </c>
      <c r="B266" s="239">
        <f>H270</f>
        <v>0</v>
      </c>
      <c r="C266" s="33"/>
      <c r="D266" s="109" t="s">
        <v>2686</v>
      </c>
      <c r="E266" s="134" t="s">
        <v>48</v>
      </c>
      <c r="F266" s="135">
        <f>'GIS Heat Input'!E76</f>
        <v>0</v>
      </c>
      <c r="G266" s="93"/>
      <c r="H266" s="111">
        <f>F266*'GWPs &amp; Fuel EFs'!$N$7</f>
        <v>0</v>
      </c>
      <c r="I266" s="93"/>
      <c r="J266" s="111">
        <f>F266*'GWPs &amp; Fuel EFs'!$M$35</f>
        <v>0</v>
      </c>
      <c r="K266" s="111">
        <f>J266*'GWPs &amp; Fuel EFs'!$D$11</f>
        <v>0</v>
      </c>
      <c r="L266" s="93"/>
      <c r="M266" s="111">
        <f>F266*'GWPs &amp; Fuel EFs'!$M$63</f>
        <v>0</v>
      </c>
      <c r="N266" s="111">
        <f>M266*'GWPs &amp; Fuel EFs'!$E$11</f>
        <v>0</v>
      </c>
    </row>
    <row r="267" spans="1:14">
      <c r="A267" s="531" t="s">
        <v>222</v>
      </c>
      <c r="B267" s="239">
        <f>K270</f>
        <v>0</v>
      </c>
      <c r="C267" s="33"/>
      <c r="D267" s="109" t="s">
        <v>388</v>
      </c>
      <c r="E267" s="134" t="s">
        <v>41</v>
      </c>
      <c r="F267" s="135">
        <f>'GIS Heat Input'!E77</f>
        <v>0</v>
      </c>
      <c r="G267" s="93"/>
      <c r="H267" s="111">
        <f>F267*'GWPs &amp; Fuel EFs'!$N$8</f>
        <v>0</v>
      </c>
      <c r="I267" s="93"/>
      <c r="J267" s="111">
        <f>F267*'GWPs &amp; Fuel EFs'!$M$36</f>
        <v>0</v>
      </c>
      <c r="K267" s="111">
        <f>J267*'GWPs &amp; Fuel EFs'!$D$11</f>
        <v>0</v>
      </c>
      <c r="L267" s="93"/>
      <c r="M267" s="111">
        <f>F267*'GWPs &amp; Fuel EFs'!$M$64</f>
        <v>0</v>
      </c>
      <c r="N267" s="111">
        <f>M267*'GWPs &amp; Fuel EFs'!$E$11</f>
        <v>0</v>
      </c>
    </row>
    <row r="268" spans="1:14">
      <c r="A268" s="531" t="s">
        <v>223</v>
      </c>
      <c r="B268" s="239">
        <f>N270</f>
        <v>0</v>
      </c>
      <c r="C268" s="33"/>
      <c r="D268" s="109" t="s">
        <v>402</v>
      </c>
      <c r="E268" s="134" t="s">
        <v>19</v>
      </c>
      <c r="F268" s="135">
        <f>'GIS Heat Input'!E78</f>
        <v>0</v>
      </c>
      <c r="G268" s="93"/>
      <c r="H268" s="111">
        <f>F268*'GWPs &amp; Fuel EFs'!$N$9</f>
        <v>0</v>
      </c>
      <c r="I268" s="93"/>
      <c r="J268" s="111">
        <f>F268*'GWPs &amp; Fuel EFs'!$M$37</f>
        <v>0</v>
      </c>
      <c r="K268" s="111">
        <f>J268*'GWPs &amp; Fuel EFs'!$D$11</f>
        <v>0</v>
      </c>
      <c r="L268" s="93"/>
      <c r="M268" s="111">
        <f>F268*'GWPs &amp; Fuel EFs'!$M$65</f>
        <v>0</v>
      </c>
      <c r="N268" s="111">
        <f>M268*'GWPs &amp; Fuel EFs'!$E$11</f>
        <v>0</v>
      </c>
    </row>
    <row r="269" spans="1:14">
      <c r="A269" s="531" t="s">
        <v>224</v>
      </c>
      <c r="B269" s="239">
        <f>K277</f>
        <v>2288752.7306441902</v>
      </c>
      <c r="C269" s="33"/>
      <c r="D269" s="109"/>
      <c r="E269" s="113"/>
      <c r="F269" s="108"/>
      <c r="G269" s="93"/>
      <c r="H269" s="114">
        <f>SUM(H266:H268)</f>
        <v>0</v>
      </c>
      <c r="I269" s="93"/>
      <c r="J269" s="111"/>
      <c r="K269" s="114">
        <f>SUM(K265:K268)</f>
        <v>0</v>
      </c>
      <c r="L269" s="93"/>
      <c r="M269" s="111"/>
      <c r="N269" s="114">
        <f>SUM(N265:N268)</f>
        <v>0</v>
      </c>
    </row>
    <row r="270" spans="1:14">
      <c r="A270" s="531" t="s">
        <v>225</v>
      </c>
      <c r="B270" s="239">
        <f>N277</f>
        <v>13347389.990937389</v>
      </c>
      <c r="C270" s="33"/>
      <c r="D270" s="28"/>
      <c r="E270" s="93"/>
      <c r="F270" s="28"/>
      <c r="G270" s="93"/>
      <c r="H270" s="114"/>
      <c r="I270" s="93"/>
      <c r="J270" s="111"/>
      <c r="K270" s="114"/>
      <c r="L270" s="93"/>
      <c r="M270" s="111"/>
      <c r="N270" s="114"/>
    </row>
    <row r="271" spans="1:14">
      <c r="A271" s="531"/>
      <c r="B271" s="531"/>
      <c r="C271" s="33"/>
      <c r="D271" s="28"/>
      <c r="E271" s="28"/>
      <c r="F271" s="28"/>
    </row>
    <row r="272" spans="1:14" ht="13">
      <c r="A272" s="240" t="s">
        <v>226</v>
      </c>
      <c r="B272" s="238">
        <f>H277</f>
        <v>1203237784.484237</v>
      </c>
      <c r="C272" s="33"/>
      <c r="D272" s="90" t="s">
        <v>227</v>
      </c>
      <c r="E272" s="93"/>
      <c r="F272" s="108"/>
      <c r="G272" s="93"/>
      <c r="H272" s="114"/>
      <c r="I272" s="93"/>
      <c r="J272" s="111"/>
      <c r="K272" s="114"/>
      <c r="L272" s="93"/>
      <c r="M272" s="111"/>
      <c r="N272" s="114"/>
    </row>
    <row r="273" spans="1:17">
      <c r="A273" s="531"/>
      <c r="B273" s="736"/>
      <c r="C273" s="33"/>
      <c r="D273" s="112" t="s">
        <v>396</v>
      </c>
      <c r="E273" s="134" t="s">
        <v>65</v>
      </c>
      <c r="F273" s="135">
        <f>'GIS Heat Input'!E80</f>
        <v>457530.92585348233</v>
      </c>
      <c r="G273" s="93"/>
      <c r="H273" s="111">
        <f>F273*'GWPs &amp; Fuel EFs'!$N$20</f>
        <v>52522125.293272786</v>
      </c>
      <c r="I273" s="93"/>
      <c r="J273" s="111">
        <f>F273*'GWPs &amp; Fuel EFs'!$M$48</f>
        <v>3227.785691155616</v>
      </c>
      <c r="K273" s="111">
        <f>J273*'GWPs &amp; Fuel EFs'!$D$11</f>
        <v>80694.642278890402</v>
      </c>
      <c r="L273" s="93"/>
      <c r="M273" s="111">
        <f>F273*'GWPs &amp; Fuel EFs'!$M$76</f>
        <v>635.47030794626187</v>
      </c>
      <c r="N273" s="111">
        <f>M273*'GWPs &amp; Fuel EFs'!$E$11</f>
        <v>189370.15176798604</v>
      </c>
    </row>
    <row r="274" spans="1:17">
      <c r="A274" s="531"/>
      <c r="B274" s="531"/>
      <c r="C274" s="33"/>
      <c r="D274" s="112" t="s">
        <v>399</v>
      </c>
      <c r="E274" s="134" t="s">
        <v>18</v>
      </c>
      <c r="F274" s="135">
        <f>'GIS Heat Input'!E81</f>
        <v>0</v>
      </c>
      <c r="G274" s="93"/>
      <c r="H274" s="111">
        <f>F274*'GWPs &amp; Fuel EFs'!$N$21</f>
        <v>0</v>
      </c>
      <c r="I274" s="93"/>
      <c r="J274" s="111">
        <f>F274*'GWPs &amp; Fuel EFs'!$M$49</f>
        <v>0</v>
      </c>
      <c r="K274" s="111">
        <f>J274*'GWPs &amp; Fuel EFs'!$D$11</f>
        <v>0</v>
      </c>
      <c r="L274" s="93"/>
      <c r="M274" s="111">
        <f>F274*'GWPs &amp; Fuel EFs'!$M$77</f>
        <v>0</v>
      </c>
      <c r="N274" s="111">
        <f>M274*'GWPs &amp; Fuel EFs'!$E$11</f>
        <v>0</v>
      </c>
    </row>
    <row r="275" spans="1:17">
      <c r="A275" s="531"/>
      <c r="B275" s="531"/>
      <c r="C275" s="33"/>
      <c r="D275" s="112" t="s">
        <v>404</v>
      </c>
      <c r="E275" s="134" t="s">
        <v>71</v>
      </c>
      <c r="F275" s="135">
        <f>'GIS Heat Input'!E82</f>
        <v>5562813.5067399936</v>
      </c>
      <c r="G275" s="93"/>
      <c r="H275" s="111">
        <f>F275*'GWPs &amp; Fuel EFs'!$N$23</f>
        <v>1150354240.955688</v>
      </c>
      <c r="I275" s="93"/>
      <c r="J275" s="111">
        <f>F275*'GWPs &amp; Fuel EFs'!$M$51</f>
        <v>88300.112312163677</v>
      </c>
      <c r="K275" s="111">
        <f>J275*'GWPs &amp; Fuel EFs'!$D$11</f>
        <v>2207502.8078040918</v>
      </c>
      <c r="L275" s="93"/>
      <c r="M275" s="111">
        <f>F275*'GWPs &amp; Fuel EFs'!$M$79</f>
        <v>44150.056156081839</v>
      </c>
      <c r="N275" s="111">
        <f>M275*'GWPs &amp; Fuel EFs'!$E$11</f>
        <v>13156716.734512389</v>
      </c>
    </row>
    <row r="276" spans="1:17">
      <c r="A276" s="531"/>
      <c r="B276" s="239"/>
      <c r="C276" s="33"/>
      <c r="D276" s="120" t="s">
        <v>2425</v>
      </c>
      <c r="E276" s="134" t="s">
        <v>70</v>
      </c>
      <c r="F276" s="135">
        <f>'GIS Heat Input'!E83</f>
        <v>3148.3878248047786</v>
      </c>
      <c r="G276" s="93"/>
      <c r="H276" s="111">
        <f>F276*'GWPs &amp; Fuel EFs'!$N$27</f>
        <v>361418.23527611181</v>
      </c>
      <c r="I276" s="93"/>
      <c r="J276" s="111">
        <f>F276*'GWPs &amp; Fuel EFs'!$M$55</f>
        <v>22.21122244831108</v>
      </c>
      <c r="K276" s="111">
        <f>J276*'GWPs &amp; Fuel EFs'!$D$11</f>
        <v>555.28056120777705</v>
      </c>
      <c r="L276" s="93"/>
      <c r="M276" s="111">
        <f>F276*'GWPs &amp; Fuel EFs'!$M$83</f>
        <v>4.3728344195112436</v>
      </c>
      <c r="N276" s="111">
        <f>M276*'GWPs &amp; Fuel EFs'!$E$11</f>
        <v>1303.1046570143506</v>
      </c>
    </row>
    <row r="277" spans="1:17">
      <c r="A277" s="531"/>
      <c r="B277" s="239"/>
      <c r="C277" s="33"/>
      <c r="D277" s="112"/>
      <c r="E277" s="113"/>
      <c r="F277" s="111"/>
      <c r="G277" s="93"/>
      <c r="H277" s="115">
        <f>SUM(H273:H276)</f>
        <v>1203237784.484237</v>
      </c>
      <c r="I277" s="93"/>
      <c r="J277" s="111"/>
      <c r="K277" s="114">
        <f>SUM(K273:K276)</f>
        <v>2288752.7306441902</v>
      </c>
      <c r="L277" s="93"/>
      <c r="M277" s="111"/>
      <c r="N277" s="114">
        <f>SUM(N273:N276)</f>
        <v>13347389.990937389</v>
      </c>
    </row>
    <row r="278" spans="1:17">
      <c r="A278" s="531"/>
      <c r="B278" s="239"/>
      <c r="C278" s="33"/>
      <c r="D278" s="112"/>
      <c r="E278" s="113"/>
      <c r="F278" s="111"/>
      <c r="G278" s="93"/>
      <c r="H278" s="111"/>
      <c r="I278" s="93"/>
      <c r="J278" s="111"/>
      <c r="K278" s="111"/>
      <c r="L278" s="93"/>
      <c r="M278" s="111"/>
      <c r="N278" s="111"/>
    </row>
    <row r="279" spans="1:17">
      <c r="A279" s="325"/>
      <c r="B279" s="325"/>
      <c r="C279" s="325"/>
      <c r="D279" s="325"/>
      <c r="E279" s="325"/>
      <c r="F279" s="325"/>
      <c r="G279" s="325"/>
      <c r="H279" s="325"/>
      <c r="I279" s="325"/>
      <c r="J279" s="325"/>
      <c r="K279" s="325"/>
      <c r="L279" s="325"/>
      <c r="M279" s="325"/>
      <c r="N279" s="325"/>
      <c r="O279" s="325"/>
      <c r="P279" s="325"/>
      <c r="Q279" s="325"/>
    </row>
    <row r="281" spans="1:17" ht="15.5">
      <c r="A281" s="321" t="s">
        <v>3280</v>
      </c>
    </row>
    <row r="282" spans="1:17">
      <c r="A282" s="28" t="s">
        <v>2922</v>
      </c>
    </row>
    <row r="283" spans="1:17">
      <c r="A283" s="28" t="s">
        <v>2794</v>
      </c>
    </row>
    <row r="284" spans="1:17">
      <c r="A284" s="793" t="s">
        <v>3276</v>
      </c>
    </row>
    <row r="285" spans="1:17">
      <c r="A285" s="28" t="s">
        <v>2923</v>
      </c>
    </row>
    <row r="286" spans="1:17">
      <c r="A286" s="28" t="s">
        <v>2936</v>
      </c>
    </row>
    <row r="287" spans="1:17" ht="13">
      <c r="P287" s="246" t="s">
        <v>2721</v>
      </c>
      <c r="Q287" s="18"/>
    </row>
    <row r="288" spans="1:17" ht="13">
      <c r="A288" s="285" t="s">
        <v>2698</v>
      </c>
      <c r="B288" s="286"/>
      <c r="D288" s="105" t="s">
        <v>232</v>
      </c>
      <c r="E288" s="105"/>
      <c r="F288" s="105"/>
      <c r="G288" s="93"/>
      <c r="H288" s="105" t="s">
        <v>232</v>
      </c>
      <c r="I288" s="110"/>
      <c r="J288" s="105" t="s">
        <v>232</v>
      </c>
      <c r="K288" s="105"/>
      <c r="L288" s="110"/>
      <c r="M288" s="105" t="s">
        <v>232</v>
      </c>
      <c r="N288" s="105"/>
      <c r="P288" s="870" t="s">
        <v>2702</v>
      </c>
      <c r="Q288" s="871" t="s">
        <v>1374</v>
      </c>
    </row>
    <row r="289" spans="1:17" ht="13">
      <c r="A289" s="286">
        <v>2019</v>
      </c>
      <c r="B289" s="286"/>
      <c r="C289" s="18"/>
      <c r="D289" s="105" t="s">
        <v>213</v>
      </c>
      <c r="E289" s="105"/>
      <c r="F289" s="105"/>
      <c r="G289" s="93"/>
      <c r="H289" s="105" t="s">
        <v>214</v>
      </c>
      <c r="I289" s="110"/>
      <c r="J289" s="105" t="s">
        <v>215</v>
      </c>
      <c r="K289" s="105"/>
      <c r="L289" s="110"/>
      <c r="M289" s="105" t="s">
        <v>216</v>
      </c>
      <c r="N289" s="105"/>
      <c r="P289" s="870"/>
      <c r="Q289" s="871"/>
    </row>
    <row r="290" spans="1:17" ht="35.5">
      <c r="A290" s="287"/>
      <c r="B290" s="288" t="s">
        <v>341</v>
      </c>
      <c r="C290" s="13"/>
      <c r="D290" s="107" t="s">
        <v>217</v>
      </c>
      <c r="E290" s="107" t="s">
        <v>218</v>
      </c>
      <c r="F290" s="107" t="str">
        <f>F314</f>
        <v>Heat Input from GIS certificates (MMBtu)</v>
      </c>
      <c r="G290" s="93"/>
      <c r="H290" s="231" t="s">
        <v>339</v>
      </c>
      <c r="I290" s="232"/>
      <c r="J290" s="107" t="s">
        <v>340</v>
      </c>
      <c r="K290" s="230" t="s">
        <v>341</v>
      </c>
      <c r="L290" s="232"/>
      <c r="M290" s="107" t="s">
        <v>342</v>
      </c>
      <c r="N290" s="230" t="s">
        <v>341</v>
      </c>
      <c r="P290" s="187" t="s">
        <v>2423</v>
      </c>
      <c r="Q290" s="245">
        <f>GIS!Q69*GIS!$C36</f>
        <v>0</v>
      </c>
    </row>
    <row r="291" spans="1:17" ht="14.5">
      <c r="A291" s="289" t="s">
        <v>220</v>
      </c>
      <c r="B291" s="290">
        <f>SUM(B292:B296)</f>
        <v>2518534915.0621834</v>
      </c>
      <c r="C291" s="18"/>
      <c r="D291" s="90" t="s">
        <v>221</v>
      </c>
      <c r="E291" s="90"/>
      <c r="F291" s="90"/>
      <c r="G291" s="93"/>
      <c r="H291" s="93"/>
      <c r="I291" s="93"/>
      <c r="J291" s="106"/>
      <c r="K291" s="106"/>
      <c r="L291" s="93"/>
      <c r="M291" s="106"/>
      <c r="N291" s="106"/>
      <c r="P291" s="48" t="s">
        <v>1330</v>
      </c>
      <c r="Q291" s="245">
        <f>GIS!Q70*GIS!$C37</f>
        <v>3671146.0617724173</v>
      </c>
    </row>
    <row r="292" spans="1:17" ht="14.5">
      <c r="A292" s="291" t="s">
        <v>1471</v>
      </c>
      <c r="B292" s="292">
        <f>H296</f>
        <v>2422340392.6256452</v>
      </c>
      <c r="C292" s="18"/>
      <c r="D292" s="109" t="s">
        <v>2686</v>
      </c>
      <c r="E292" s="134" t="s">
        <v>48</v>
      </c>
      <c r="F292" s="135">
        <f>Q293+Q304</f>
        <v>0</v>
      </c>
      <c r="G292" s="93"/>
      <c r="H292" s="111">
        <f>F292*'GWPs &amp; Fuel EFs'!$N$7</f>
        <v>0</v>
      </c>
      <c r="I292" s="93"/>
      <c r="J292" s="111">
        <f>F292*'GWPs &amp; Fuel EFs'!$M$35</f>
        <v>0</v>
      </c>
      <c r="K292" s="111">
        <f>J292*'GWPs &amp; Fuel EFs'!$D$11</f>
        <v>0</v>
      </c>
      <c r="L292" s="93"/>
      <c r="M292" s="111">
        <f>F292*'GWPs &amp; Fuel EFs'!$M$63</f>
        <v>0</v>
      </c>
      <c r="N292" s="111">
        <f>M292*'GWPs &amp; Fuel EFs'!$E$11</f>
        <v>0</v>
      </c>
      <c r="P292" s="48" t="s">
        <v>1331</v>
      </c>
      <c r="Q292" s="245">
        <f>GIS!Q71*GIS!$C38</f>
        <v>0</v>
      </c>
    </row>
    <row r="293" spans="1:17" ht="14.5">
      <c r="A293" s="291" t="s">
        <v>222</v>
      </c>
      <c r="B293" s="292">
        <f>K295</f>
        <v>18711194.803099602</v>
      </c>
      <c r="C293" s="18"/>
      <c r="D293" s="109" t="s">
        <v>388</v>
      </c>
      <c r="E293" s="134" t="s">
        <v>41</v>
      </c>
      <c r="F293" s="135">
        <f>Q302</f>
        <v>0</v>
      </c>
      <c r="G293" s="93"/>
      <c r="H293" s="111">
        <f>F293*'GWPs &amp; Fuel EFs'!$N$8</f>
        <v>0</v>
      </c>
      <c r="I293" s="93"/>
      <c r="J293" s="111">
        <f>F293*'GWPs &amp; Fuel EFs'!$M$36</f>
        <v>0</v>
      </c>
      <c r="K293" s="111">
        <f>J293*'GWPs &amp; Fuel EFs'!$D$11</f>
        <v>0</v>
      </c>
      <c r="L293" s="93"/>
      <c r="M293" s="111">
        <f>F293*'GWPs &amp; Fuel EFs'!$M$64</f>
        <v>0</v>
      </c>
      <c r="N293" s="111">
        <f>M293*'GWPs &amp; Fuel EFs'!$E$11</f>
        <v>0</v>
      </c>
      <c r="P293" s="48" t="s">
        <v>1332</v>
      </c>
      <c r="Q293" s="245">
        <f>GIS!Q72*GIS!$C39</f>
        <v>0</v>
      </c>
    </row>
    <row r="294" spans="1:17" ht="14.5">
      <c r="A294" s="291" t="s">
        <v>223</v>
      </c>
      <c r="B294" s="292">
        <f>N295</f>
        <v>29738325.607059646</v>
      </c>
      <c r="C294" s="18"/>
      <c r="D294" s="109" t="s">
        <v>402</v>
      </c>
      <c r="E294" s="134" t="s">
        <v>19</v>
      </c>
      <c r="F294" s="135">
        <f>(Q301+Q306)*'GIS Heat Input'!F18</f>
        <v>11290337.97363491</v>
      </c>
      <c r="G294" s="93"/>
      <c r="H294" s="111">
        <f>F294*'GWPs &amp; Fuel EFs'!$N$9</f>
        <v>2287755417.9256454</v>
      </c>
      <c r="I294" s="93"/>
      <c r="J294" s="111">
        <f>F294*'GWPs &amp; Fuel EFs'!$M$37</f>
        <v>748447.79212398408</v>
      </c>
      <c r="K294" s="111">
        <f>J294*'GWPs &amp; Fuel EFs'!$D$11</f>
        <v>18711194.803099602</v>
      </c>
      <c r="L294" s="93"/>
      <c r="M294" s="111">
        <f>F294*'GWPs &amp; Fuel EFs'!$M$65</f>
        <v>99793.038949864582</v>
      </c>
      <c r="N294" s="111">
        <f>M294*'GWPs &amp; Fuel EFs'!$E$11</f>
        <v>29738325.607059646</v>
      </c>
      <c r="P294" s="48" t="s">
        <v>1333</v>
      </c>
      <c r="Q294" s="245">
        <f>GIS!Q73*GIS!$C40</f>
        <v>0</v>
      </c>
    </row>
    <row r="295" spans="1:17" ht="14.5">
      <c r="A295" s="291" t="s">
        <v>224</v>
      </c>
      <c r="B295" s="292">
        <f>K303</f>
        <v>15975524.627800258</v>
      </c>
      <c r="C295" s="18"/>
      <c r="D295" s="193" t="s">
        <v>3263</v>
      </c>
      <c r="E295" s="134" t="s">
        <v>3260</v>
      </c>
      <c r="F295" s="135"/>
      <c r="G295" s="93"/>
      <c r="H295" s="204">
        <f>GIS!Q75*'GWPs &amp; Fuel EFs'!$E$34</f>
        <v>134584974.69999999</v>
      </c>
      <c r="I295" s="93"/>
      <c r="J295" s="111"/>
      <c r="K295" s="114">
        <f>SUM(K292:K294)</f>
        <v>18711194.803099602</v>
      </c>
      <c r="L295" s="93"/>
      <c r="M295" s="111"/>
      <c r="N295" s="114">
        <f>SUM(N292:N294)</f>
        <v>29738325.607059646</v>
      </c>
      <c r="P295" s="48" t="s">
        <v>1334</v>
      </c>
      <c r="Q295" s="245">
        <f>GIS!Q74*GIS!$C41</f>
        <v>0</v>
      </c>
    </row>
    <row r="296" spans="1:17" ht="14.5">
      <c r="A296" s="291" t="s">
        <v>225</v>
      </c>
      <c r="B296" s="292">
        <f>N303</f>
        <v>31769477.398578826</v>
      </c>
      <c r="C296" s="18"/>
      <c r="H296" s="114">
        <f>SUM(H292:H295)</f>
        <v>2422340392.6256452</v>
      </c>
      <c r="P296" s="48" t="s">
        <v>1335</v>
      </c>
      <c r="Q296" s="245">
        <f>GIS!Q75*GIS!$C42</f>
        <v>0</v>
      </c>
    </row>
    <row r="297" spans="1:17" ht="14.5">
      <c r="A297" s="291"/>
      <c r="B297" s="291"/>
      <c r="C297" s="18"/>
      <c r="P297" s="53" t="s">
        <v>1336</v>
      </c>
      <c r="Q297" s="245">
        <f>GIS!Q76*GIS!$C43</f>
        <v>0</v>
      </c>
    </row>
    <row r="298" spans="1:17" ht="14.5">
      <c r="A298" s="293" t="s">
        <v>226</v>
      </c>
      <c r="B298" s="290">
        <f>H303</f>
        <v>2703012016.03019</v>
      </c>
      <c r="C298" s="18"/>
      <c r="D298" s="90" t="s">
        <v>227</v>
      </c>
      <c r="E298" s="93"/>
      <c r="F298" s="108"/>
      <c r="G298" s="93"/>
      <c r="H298" s="114"/>
      <c r="I298" s="93"/>
      <c r="J298" s="111"/>
      <c r="K298" s="114"/>
      <c r="L298" s="93"/>
      <c r="M298" s="111"/>
      <c r="N298" s="114"/>
      <c r="P298" s="53" t="s">
        <v>1337</v>
      </c>
      <c r="Q298" s="245">
        <f>GIS!Q77*GIS!$C44</f>
        <v>0</v>
      </c>
    </row>
    <row r="299" spans="1:17" ht="14.5">
      <c r="A299" s="291"/>
      <c r="B299" s="291"/>
      <c r="C299" s="18"/>
      <c r="D299" s="112" t="s">
        <v>396</v>
      </c>
      <c r="E299" s="134" t="s">
        <v>65</v>
      </c>
      <c r="F299" s="135">
        <f>Q300</f>
        <v>87822.748736664784</v>
      </c>
      <c r="G299" s="93"/>
      <c r="H299" s="111">
        <f>F299*'GWPs &amp; Fuel EFs'!$N$20</f>
        <v>10081586.078891315</v>
      </c>
      <c r="I299" s="93"/>
      <c r="J299" s="111">
        <f>F299*'GWPs &amp; Fuel EFs'!$M$48</f>
        <v>619.57125892936835</v>
      </c>
      <c r="K299" s="111">
        <f>J299*'GWPs &amp; Fuel EFs'!$D$11</f>
        <v>15489.281473234209</v>
      </c>
      <c r="L299" s="93"/>
      <c r="M299" s="111">
        <f>F299*'GWPs &amp; Fuel EFs'!$M$76</f>
        <v>121.97809160171938</v>
      </c>
      <c r="N299" s="111">
        <f>M299*'GWPs &amp; Fuel EFs'!$E$11</f>
        <v>36349.471297312375</v>
      </c>
      <c r="P299" s="48" t="s">
        <v>1338</v>
      </c>
      <c r="Q299" s="245">
        <f>GIS!Q78*GIS!$C45</f>
        <v>0</v>
      </c>
    </row>
    <row r="300" spans="1:17" ht="14.5">
      <c r="A300" s="291"/>
      <c r="B300" s="294"/>
      <c r="C300" s="18"/>
      <c r="D300" s="112" t="s">
        <v>399</v>
      </c>
      <c r="E300" s="134" t="s">
        <v>18</v>
      </c>
      <c r="F300" s="135">
        <f>(Q301+Q306)*'GIS Heat Input'!F21</f>
        <v>9237417.2145253234</v>
      </c>
      <c r="G300" s="93"/>
      <c r="H300" s="111">
        <f>F300*'GWPs &amp; Fuel EFs'!$N$21</f>
        <v>1933760913.2650259</v>
      </c>
      <c r="I300" s="93"/>
      <c r="J300" s="111">
        <f>F300*'GWPs &amp; Fuel EFs'!$M$49</f>
        <v>580128.27397950774</v>
      </c>
      <c r="K300" s="111">
        <f>J300*'GWPs &amp; Fuel EFs'!$D$11</f>
        <v>14503206.849487694</v>
      </c>
      <c r="L300" s="93"/>
      <c r="M300" s="111">
        <f>F300*'GWPs &amp; Fuel EFs'!$M$77</f>
        <v>77350.43653060103</v>
      </c>
      <c r="N300" s="111">
        <f>M300*'GWPs &amp; Fuel EFs'!$E$11</f>
        <v>23050430.086119108</v>
      </c>
      <c r="P300" s="48" t="s">
        <v>1339</v>
      </c>
      <c r="Q300" s="245">
        <f>GIS!Q79*GIS!$C46</f>
        <v>87822.748736664784</v>
      </c>
    </row>
    <row r="301" spans="1:17" ht="14.5">
      <c r="A301" s="291"/>
      <c r="B301" s="291"/>
      <c r="C301" s="18"/>
      <c r="D301" s="112" t="s">
        <v>404</v>
      </c>
      <c r="E301" s="134" t="s">
        <v>71</v>
      </c>
      <c r="F301" s="135">
        <f>Q291+Q308</f>
        <v>3671146.0617724173</v>
      </c>
      <c r="G301" s="93"/>
      <c r="H301" s="111">
        <f>F301*'GWPs &amp; Fuel EFs'!$N$23</f>
        <v>759169516.68627298</v>
      </c>
      <c r="I301" s="93"/>
      <c r="J301" s="111">
        <f>F301*'GWPs &amp; Fuel EFs'!$M$51</f>
        <v>58273.139873573193</v>
      </c>
      <c r="K301" s="111">
        <f>J301*'GWPs &amp; Fuel EFs'!$D$11</f>
        <v>1456828.4968393298</v>
      </c>
      <c r="L301" s="93"/>
      <c r="M301" s="111">
        <f>F301*'GWPs &amp; Fuel EFs'!$M$79</f>
        <v>29136.569936786596</v>
      </c>
      <c r="N301" s="111">
        <f>M301*'GWPs &amp; Fuel EFs'!$E$11</f>
        <v>8682697.8411624059</v>
      </c>
      <c r="P301" s="48" t="s">
        <v>1340</v>
      </c>
      <c r="Q301" s="245">
        <f>GIS!Q80*GIS!$C47</f>
        <v>0</v>
      </c>
    </row>
    <row r="302" spans="1:17" ht="14.5">
      <c r="A302" s="291"/>
      <c r="B302" s="291"/>
      <c r="C302" s="16"/>
      <c r="D302" s="120" t="s">
        <v>2425</v>
      </c>
      <c r="E302" s="134" t="s">
        <v>70</v>
      </c>
      <c r="F302" s="135">
        <f>Q290+Q294</f>
        <v>0</v>
      </c>
      <c r="G302" s="93"/>
      <c r="H302" s="111">
        <f>F302*'GWPs &amp; Fuel EFs'!$N$27</f>
        <v>0</v>
      </c>
      <c r="I302" s="93"/>
      <c r="J302" s="111">
        <f>F302*'GWPs &amp; Fuel EFs'!$M$55</f>
        <v>0</v>
      </c>
      <c r="K302" s="111">
        <f>J302*'GWPs &amp; Fuel EFs'!$D$11</f>
        <v>0</v>
      </c>
      <c r="L302" s="93"/>
      <c r="M302" s="111">
        <f>F302*'GWPs &amp; Fuel EFs'!$M$83</f>
        <v>0</v>
      </c>
      <c r="N302" s="111">
        <f>M302*'GWPs &amp; Fuel EFs'!$E$11</f>
        <v>0</v>
      </c>
      <c r="P302" s="48" t="s">
        <v>1341</v>
      </c>
      <c r="Q302" s="245">
        <f>GIS!Q81*GIS!$C48</f>
        <v>0</v>
      </c>
    </row>
    <row r="303" spans="1:17" ht="14.5">
      <c r="A303" s="291"/>
      <c r="B303" s="292"/>
      <c r="C303" s="18"/>
      <c r="D303" s="93"/>
      <c r="E303" s="93"/>
      <c r="F303" s="108"/>
      <c r="G303" s="93"/>
      <c r="H303" s="115">
        <f>SUM(H299:H302)</f>
        <v>2703012016.03019</v>
      </c>
      <c r="I303" s="93"/>
      <c r="J303" s="93"/>
      <c r="K303" s="114">
        <f>SUM(K299:K302)</f>
        <v>15975524.627800258</v>
      </c>
      <c r="L303" s="93"/>
      <c r="M303" s="93"/>
      <c r="N303" s="114">
        <f>SUM(N299:N302)</f>
        <v>31769477.398578826</v>
      </c>
      <c r="P303" s="48" t="s">
        <v>1342</v>
      </c>
      <c r="Q303" s="245">
        <f>GIS!Q82*GIS!$C49</f>
        <v>0</v>
      </c>
    </row>
    <row r="304" spans="1:17" ht="14.5">
      <c r="A304" s="291"/>
      <c r="B304" s="291"/>
      <c r="C304" s="18"/>
      <c r="P304" s="48" t="s">
        <v>1343</v>
      </c>
      <c r="Q304" s="245">
        <f>GIS!Q83*GIS!$C50</f>
        <v>0</v>
      </c>
    </row>
    <row r="305" spans="1:17" ht="14.5">
      <c r="A305" s="291"/>
      <c r="B305" s="291"/>
      <c r="C305" s="16"/>
      <c r="D305" s="119"/>
      <c r="E305" s="119"/>
      <c r="F305" s="119"/>
      <c r="G305" s="119"/>
      <c r="H305" s="119"/>
      <c r="I305" s="119"/>
      <c r="J305" s="119"/>
      <c r="K305" s="118"/>
      <c r="L305" s="119"/>
      <c r="M305" s="119"/>
      <c r="N305" s="119"/>
      <c r="P305" s="59" t="s">
        <v>1344</v>
      </c>
      <c r="Q305" s="245">
        <f>GIS!Q84*GIS!$C51</f>
        <v>0</v>
      </c>
    </row>
    <row r="306" spans="1:17" ht="14.5">
      <c r="A306" s="291"/>
      <c r="B306" s="291"/>
      <c r="P306" s="48" t="s">
        <v>1345</v>
      </c>
      <c r="Q306" s="245">
        <f>GIS!Q85*GIS!$C52</f>
        <v>20527755.188160233</v>
      </c>
    </row>
    <row r="307" spans="1:17" ht="14.5">
      <c r="A307" s="291"/>
      <c r="B307" s="291"/>
      <c r="P307" s="48" t="s">
        <v>1346</v>
      </c>
      <c r="Q307" s="245">
        <f>GIS!Q86*GIS!$C53</f>
        <v>0</v>
      </c>
    </row>
    <row r="308" spans="1:17" ht="14.5">
      <c r="A308" s="291"/>
      <c r="B308" s="291"/>
      <c r="P308" s="48" t="s">
        <v>1347</v>
      </c>
      <c r="Q308" s="245">
        <f>GIS!Q87*GIS!$C54</f>
        <v>0</v>
      </c>
    </row>
    <row r="310" spans="1:17">
      <c r="A310" s="241"/>
      <c r="B310" s="241"/>
      <c r="C310" s="241"/>
      <c r="D310" s="241"/>
      <c r="E310" s="241"/>
      <c r="F310" s="241"/>
      <c r="G310" s="241"/>
      <c r="H310" s="241"/>
      <c r="I310" s="241"/>
      <c r="J310" s="241"/>
      <c r="K310" s="241"/>
      <c r="L310" s="241"/>
      <c r="M310" s="241"/>
      <c r="N310" s="241"/>
      <c r="O310" s="241"/>
      <c r="P310" s="241"/>
      <c r="Q310" s="241"/>
    </row>
    <row r="311" spans="1:17" ht="13">
      <c r="P311" s="246" t="s">
        <v>2720</v>
      </c>
      <c r="Q311" s="18"/>
    </row>
    <row r="312" spans="1:17" ht="13">
      <c r="A312" s="285" t="s">
        <v>2699</v>
      </c>
      <c r="B312" s="286"/>
      <c r="D312" s="105" t="s">
        <v>212</v>
      </c>
      <c r="E312" s="105"/>
      <c r="F312" s="105"/>
      <c r="G312" s="93"/>
      <c r="H312" s="105" t="s">
        <v>212</v>
      </c>
      <c r="I312" s="105"/>
      <c r="J312" s="105" t="s">
        <v>212</v>
      </c>
      <c r="K312" s="105"/>
      <c r="L312" s="93"/>
      <c r="M312" s="105" t="s">
        <v>212</v>
      </c>
      <c r="N312" s="105"/>
      <c r="P312" s="870" t="s">
        <v>2702</v>
      </c>
      <c r="Q312" s="871" t="s">
        <v>1376</v>
      </c>
    </row>
    <row r="313" spans="1:17" ht="13">
      <c r="A313" s="286">
        <f>A289</f>
        <v>2019</v>
      </c>
      <c r="B313" s="286"/>
      <c r="D313" s="105" t="s">
        <v>213</v>
      </c>
      <c r="E313" s="105"/>
      <c r="F313" s="105"/>
      <c r="G313" s="106"/>
      <c r="H313" s="105" t="s">
        <v>214</v>
      </c>
      <c r="I313" s="105"/>
      <c r="J313" s="105" t="s">
        <v>215</v>
      </c>
      <c r="K313" s="105"/>
      <c r="L313" s="93"/>
      <c r="M313" s="105" t="s">
        <v>216</v>
      </c>
      <c r="N313" s="105"/>
      <c r="P313" s="870"/>
      <c r="Q313" s="871"/>
    </row>
    <row r="314" spans="1:17" ht="35.5">
      <c r="A314" s="287"/>
      <c r="B314" s="288" t="s">
        <v>341</v>
      </c>
      <c r="C314" s="13"/>
      <c r="D314" s="107" t="s">
        <v>217</v>
      </c>
      <c r="E314" s="107" t="s">
        <v>218</v>
      </c>
      <c r="F314" s="107" t="s">
        <v>2685</v>
      </c>
      <c r="G314" s="93"/>
      <c r="H314" s="92" t="s">
        <v>339</v>
      </c>
      <c r="I314" s="106"/>
      <c r="J314" s="90" t="s">
        <v>340</v>
      </c>
      <c r="K314" s="91" t="s">
        <v>341</v>
      </c>
      <c r="L314" s="106"/>
      <c r="M314" s="90" t="s">
        <v>342</v>
      </c>
      <c r="N314" s="91" t="s">
        <v>341</v>
      </c>
      <c r="P314" s="187" t="s">
        <v>2423</v>
      </c>
      <c r="Q314" s="245">
        <f>GIS!T94*GIS!$C36</f>
        <v>0</v>
      </c>
    </row>
    <row r="315" spans="1:17" ht="14.5">
      <c r="A315" s="289" t="s">
        <v>220</v>
      </c>
      <c r="B315" s="290">
        <f>SUM(B316:B320)</f>
        <v>3196826432.8073006</v>
      </c>
      <c r="C315" s="13"/>
      <c r="D315" s="90" t="s">
        <v>221</v>
      </c>
      <c r="E315" s="106"/>
      <c r="F315" s="90"/>
      <c r="G315" s="108"/>
      <c r="H315" s="106"/>
      <c r="I315" s="106"/>
      <c r="J315" s="106"/>
      <c r="K315" s="106"/>
      <c r="L315" s="106"/>
      <c r="M315" s="106"/>
      <c r="N315" s="106"/>
      <c r="O315" s="13"/>
      <c r="P315" s="48" t="s">
        <v>1330</v>
      </c>
      <c r="Q315" s="245">
        <f>GIS!T95*GIS!$C37</f>
        <v>0</v>
      </c>
    </row>
    <row r="316" spans="1:17" ht="14.5">
      <c r="A316" s="291" t="s">
        <v>1471</v>
      </c>
      <c r="B316" s="292">
        <f>H320</f>
        <v>3080777503.8872824</v>
      </c>
      <c r="D316" s="109" t="s">
        <v>2686</v>
      </c>
      <c r="E316" s="134" t="s">
        <v>48</v>
      </c>
      <c r="F316" s="135">
        <f>Q317+Q328</f>
        <v>0</v>
      </c>
      <c r="G316" s="93"/>
      <c r="H316" s="111">
        <f>F316*'GWPs &amp; Fuel EFs'!$N$7</f>
        <v>0</v>
      </c>
      <c r="I316" s="93"/>
      <c r="J316" s="111">
        <f>F316*'GWPs &amp; Fuel EFs'!$M$35</f>
        <v>0</v>
      </c>
      <c r="K316" s="111">
        <f>J316*'GWPs &amp; Fuel EFs'!$D$11</f>
        <v>0</v>
      </c>
      <c r="L316" s="93"/>
      <c r="M316" s="111">
        <f>F316*'GWPs &amp; Fuel EFs'!$M$63</f>
        <v>0</v>
      </c>
      <c r="N316" s="111">
        <f>M316*'GWPs &amp; Fuel EFs'!$E$11</f>
        <v>0</v>
      </c>
      <c r="O316" s="13"/>
      <c r="P316" s="48" t="s">
        <v>1331</v>
      </c>
      <c r="Q316" s="245">
        <f>GIS!T96*GIS!$C38</f>
        <v>0</v>
      </c>
    </row>
    <row r="317" spans="1:17" ht="14.5">
      <c r="A317" s="291" t="s">
        <v>222</v>
      </c>
      <c r="B317" s="292">
        <f>K319</f>
        <v>25197198.777704049</v>
      </c>
      <c r="D317" s="109" t="s">
        <v>388</v>
      </c>
      <c r="E317" s="134" t="s">
        <v>41</v>
      </c>
      <c r="F317" s="135">
        <f>Q326</f>
        <v>0</v>
      </c>
      <c r="G317" s="93"/>
      <c r="H317" s="111">
        <f>F317*'GWPs &amp; Fuel EFs'!$N$8</f>
        <v>0</v>
      </c>
      <c r="I317" s="93"/>
      <c r="J317" s="111">
        <f>F317*'GWPs &amp; Fuel EFs'!$M$36</f>
        <v>0</v>
      </c>
      <c r="K317" s="111">
        <f>J317*'GWPs &amp; Fuel EFs'!$D$11</f>
        <v>0</v>
      </c>
      <c r="L317" s="93"/>
      <c r="M317" s="111">
        <f>F317*'GWPs &amp; Fuel EFs'!$M$64</f>
        <v>0</v>
      </c>
      <c r="N317" s="111">
        <f>M317*'GWPs &amp; Fuel EFs'!$E$11</f>
        <v>0</v>
      </c>
      <c r="P317" s="48" t="s">
        <v>1332</v>
      </c>
      <c r="Q317" s="245">
        <f>GIS!T97*GIS!$C39</f>
        <v>0</v>
      </c>
    </row>
    <row r="318" spans="1:17" ht="14.5">
      <c r="A318" s="291" t="s">
        <v>223</v>
      </c>
      <c r="B318" s="292">
        <f>N319</f>
        <v>40046747.924030982</v>
      </c>
      <c r="D318" s="109" t="s">
        <v>402</v>
      </c>
      <c r="E318" s="134" t="s">
        <v>19</v>
      </c>
      <c r="F318" s="135">
        <f>(Q325+Q330)*'GIS Heat Input'!F30</f>
        <v>15203993.822030691</v>
      </c>
      <c r="G318" s="93"/>
      <c r="H318" s="111">
        <f>F318*'GWPs &amp; Fuel EFs'!$N$9</f>
        <v>3080777503.8872824</v>
      </c>
      <c r="I318" s="93"/>
      <c r="J318" s="111">
        <f>F318*'GWPs &amp; Fuel EFs'!$M$37</f>
        <v>1007887.9511081619</v>
      </c>
      <c r="K318" s="111">
        <f>J318*'GWPs &amp; Fuel EFs'!$D$11</f>
        <v>25197198.777704049</v>
      </c>
      <c r="L318" s="93"/>
      <c r="M318" s="111">
        <f>F318*'GWPs &amp; Fuel EFs'!$M$65</f>
        <v>134385.06014775496</v>
      </c>
      <c r="N318" s="111">
        <f>M318*'GWPs &amp; Fuel EFs'!$E$11</f>
        <v>40046747.924030982</v>
      </c>
      <c r="P318" s="48" t="s">
        <v>1333</v>
      </c>
      <c r="Q318" s="245">
        <f>GIS!T98*GIS!$C40</f>
        <v>0</v>
      </c>
    </row>
    <row r="319" spans="1:17" ht="14.5">
      <c r="A319" s="291" t="s">
        <v>224</v>
      </c>
      <c r="B319" s="292">
        <f>K327</f>
        <v>19600435.297453269</v>
      </c>
      <c r="D319" s="193" t="s">
        <v>3263</v>
      </c>
      <c r="E319" s="134" t="s">
        <v>3260</v>
      </c>
      <c r="F319" s="135">
        <f>Q320</f>
        <v>0</v>
      </c>
      <c r="G319" s="93"/>
      <c r="H319" s="204">
        <f>GIS!T100*'GWPs &amp; Fuel EFs'!$E$34</f>
        <v>0</v>
      </c>
      <c r="I319" s="93"/>
      <c r="J319" s="111"/>
      <c r="K319" s="114">
        <f>SUM(K316:K318)</f>
        <v>25197198.777704049</v>
      </c>
      <c r="L319" s="93"/>
      <c r="M319" s="111"/>
      <c r="N319" s="114">
        <f>SUM(N316:N318)</f>
        <v>40046747.924030982</v>
      </c>
      <c r="P319" s="48" t="s">
        <v>1334</v>
      </c>
      <c r="Q319" s="245">
        <f>GIS!T99*GIS!$C41</f>
        <v>0</v>
      </c>
    </row>
    <row r="320" spans="1:17" ht="14.5">
      <c r="A320" s="291" t="s">
        <v>225</v>
      </c>
      <c r="B320" s="292">
        <f>N327</f>
        <v>31204546.920829967</v>
      </c>
      <c r="H320" s="114">
        <f>SUM(H316:H319)</f>
        <v>3080777503.8872824</v>
      </c>
      <c r="P320" s="48" t="s">
        <v>1335</v>
      </c>
      <c r="Q320" s="245">
        <f>GIS!T100*GIS!$C42</f>
        <v>0</v>
      </c>
    </row>
    <row r="321" spans="1:17" ht="14.5">
      <c r="A321" s="291"/>
      <c r="B321" s="291"/>
      <c r="P321" s="53" t="s">
        <v>1336</v>
      </c>
      <c r="Q321" s="245">
        <f>GIS!T101*GIS!$C43</f>
        <v>0</v>
      </c>
    </row>
    <row r="322" spans="1:17" ht="14.5">
      <c r="A322" s="293" t="s">
        <v>226</v>
      </c>
      <c r="B322" s="290">
        <f>H327</f>
        <v>2649552728.2406707</v>
      </c>
      <c r="D322" s="90" t="s">
        <v>227</v>
      </c>
      <c r="E322" s="93"/>
      <c r="F322" s="108"/>
      <c r="G322" s="93"/>
      <c r="H322" s="114"/>
      <c r="I322" s="93"/>
      <c r="J322" s="111"/>
      <c r="K322" s="114"/>
      <c r="L322" s="93"/>
      <c r="M322" s="111"/>
      <c r="N322" s="114"/>
      <c r="P322" s="53" t="s">
        <v>1337</v>
      </c>
      <c r="Q322" s="245">
        <f>GIS!T102*GIS!$C44</f>
        <v>0</v>
      </c>
    </row>
    <row r="323" spans="1:17" ht="14.5">
      <c r="A323" s="291"/>
      <c r="B323" s="291"/>
      <c r="D323" s="112" t="s">
        <v>396</v>
      </c>
      <c r="E323" s="134" t="s">
        <v>65</v>
      </c>
      <c r="F323" s="135">
        <f>Q324</f>
        <v>396164.11341942725</v>
      </c>
      <c r="G323" s="93"/>
      <c r="H323" s="111">
        <f>F323*'GWPs &amp; Fuel EFs'!$N$20</f>
        <v>45477540.48078654</v>
      </c>
      <c r="I323" s="93"/>
      <c r="J323" s="111">
        <f>F323*'GWPs &amp; Fuel EFs'!$M$48</f>
        <v>2794.8555701654877</v>
      </c>
      <c r="K323" s="111">
        <f>J323*'GWPs &amp; Fuel EFs'!$D$11</f>
        <v>69871.38925413719</v>
      </c>
      <c r="L323" s="93"/>
      <c r="M323" s="111">
        <f>F323*'GWPs &amp; Fuel EFs'!$M$76</f>
        <v>550.23719037633032</v>
      </c>
      <c r="N323" s="111">
        <f>M323*'GWPs &amp; Fuel EFs'!$E$11</f>
        <v>163970.68273214644</v>
      </c>
      <c r="P323" s="48" t="s">
        <v>1338</v>
      </c>
      <c r="Q323" s="245">
        <f>GIS!T103*GIS!$C45</f>
        <v>0</v>
      </c>
    </row>
    <row r="324" spans="1:17" ht="14.5">
      <c r="A324" s="291"/>
      <c r="B324" s="294"/>
      <c r="D324" s="112" t="s">
        <v>399</v>
      </c>
      <c r="E324" s="134" t="s">
        <v>18</v>
      </c>
      <c r="F324" s="135">
        <f>(Q325+Q330)*'GIS Heat Input'!F33</f>
        <v>12439453.503440754</v>
      </c>
      <c r="G324" s="93"/>
      <c r="H324" s="111">
        <f>F324*'GWPs &amp; Fuel EFs'!$N$21</f>
        <v>2604075187.7598844</v>
      </c>
      <c r="I324" s="93"/>
      <c r="J324" s="111">
        <f>F324*'GWPs &amp; Fuel EFs'!$M$49</f>
        <v>781222.55632796523</v>
      </c>
      <c r="K324" s="111">
        <f>J324*'GWPs &amp; Fuel EFs'!$D$11</f>
        <v>19530563.908199131</v>
      </c>
      <c r="L324" s="93"/>
      <c r="M324" s="111">
        <f>F324*'GWPs &amp; Fuel EFs'!$M$77</f>
        <v>104163.00751039537</v>
      </c>
      <c r="N324" s="111">
        <f>M324*'GWPs &amp; Fuel EFs'!$E$11</f>
        <v>31040576.23809782</v>
      </c>
      <c r="P324" s="48" t="s">
        <v>1339</v>
      </c>
      <c r="Q324" s="245">
        <f>GIS!T104*GIS!$C46</f>
        <v>396164.11341942725</v>
      </c>
    </row>
    <row r="325" spans="1:17" ht="14.5">
      <c r="A325" s="291"/>
      <c r="B325" s="291"/>
      <c r="D325" s="112" t="s">
        <v>404</v>
      </c>
      <c r="E325" s="134" t="s">
        <v>71</v>
      </c>
      <c r="F325" s="135">
        <f>Q315+Q332</f>
        <v>0</v>
      </c>
      <c r="G325" s="93"/>
      <c r="H325" s="111">
        <f>F325*'GWPs &amp; Fuel EFs'!$N$23</f>
        <v>0</v>
      </c>
      <c r="I325" s="93"/>
      <c r="J325" s="111">
        <f>F325*'GWPs &amp; Fuel EFs'!$M$51</f>
        <v>0</v>
      </c>
      <c r="K325" s="111">
        <f>J325*'GWPs &amp; Fuel EFs'!$D$11</f>
        <v>0</v>
      </c>
      <c r="L325" s="93"/>
      <c r="M325" s="111">
        <f>F325*'GWPs &amp; Fuel EFs'!$M$79</f>
        <v>0</v>
      </c>
      <c r="N325" s="111">
        <f>M325*'GWPs &amp; Fuel EFs'!$E$11</f>
        <v>0</v>
      </c>
      <c r="P325" s="48" t="s">
        <v>1340</v>
      </c>
      <c r="Q325" s="245">
        <f>GIS!T105*GIS!$C47</f>
        <v>8247326.2183372779</v>
      </c>
    </row>
    <row r="326" spans="1:17" ht="14.5">
      <c r="A326" s="291"/>
      <c r="B326" s="291"/>
      <c r="C326" s="16"/>
      <c r="D326" s="120" t="s">
        <v>2425</v>
      </c>
      <c r="E326" s="134" t="s">
        <v>70</v>
      </c>
      <c r="F326" s="135">
        <f>Q314+Q318</f>
        <v>0</v>
      </c>
      <c r="G326" s="93"/>
      <c r="H326" s="111">
        <f>F326*'GWPs &amp; Fuel EFs'!$N$27</f>
        <v>0</v>
      </c>
      <c r="I326" s="93"/>
      <c r="J326" s="111">
        <f>F326*'GWPs &amp; Fuel EFs'!$M$55</f>
        <v>0</v>
      </c>
      <c r="K326" s="111">
        <f>J326*'GWPs &amp; Fuel EFs'!$D$11</f>
        <v>0</v>
      </c>
      <c r="L326" s="93"/>
      <c r="M326" s="111">
        <f>F326*'GWPs &amp; Fuel EFs'!$M$83</f>
        <v>0</v>
      </c>
      <c r="N326" s="111">
        <f>M326*'GWPs &amp; Fuel EFs'!$E$11</f>
        <v>0</v>
      </c>
      <c r="P326" s="48" t="s">
        <v>1341</v>
      </c>
      <c r="Q326" s="245">
        <f>GIS!T106*GIS!$C48</f>
        <v>0</v>
      </c>
    </row>
    <row r="327" spans="1:17" ht="14.5">
      <c r="A327" s="295"/>
      <c r="B327" s="296"/>
      <c r="D327" s="93"/>
      <c r="E327" s="93"/>
      <c r="F327" s="108"/>
      <c r="G327" s="93"/>
      <c r="H327" s="115">
        <f>SUM(H323:H326)</f>
        <v>2649552728.2406707</v>
      </c>
      <c r="I327" s="93"/>
      <c r="J327" s="93"/>
      <c r="K327" s="114">
        <f>SUM(K323:K326)</f>
        <v>19600435.297453269</v>
      </c>
      <c r="L327" s="93"/>
      <c r="M327" s="93"/>
      <c r="N327" s="114">
        <f>SUM(N323:N326)</f>
        <v>31204546.920829967</v>
      </c>
      <c r="O327" s="16"/>
      <c r="P327" s="48" t="s">
        <v>1342</v>
      </c>
      <c r="Q327" s="245">
        <f>GIS!T107*GIS!$C49</f>
        <v>0</v>
      </c>
    </row>
    <row r="328" spans="1:17" ht="14.5">
      <c r="A328" s="295"/>
      <c r="B328" s="296"/>
      <c r="P328" s="48" t="s">
        <v>1343</v>
      </c>
      <c r="Q328" s="245">
        <f>GIS!T108*GIS!$C50</f>
        <v>0</v>
      </c>
    </row>
    <row r="329" spans="1:17" ht="14.5">
      <c r="A329" s="295"/>
      <c r="B329" s="296"/>
      <c r="P329" s="59" t="s">
        <v>1344</v>
      </c>
      <c r="Q329" s="245">
        <f>GIS!T109*GIS!$C51</f>
        <v>0</v>
      </c>
    </row>
    <row r="330" spans="1:17" ht="14.5">
      <c r="A330" s="295"/>
      <c r="B330" s="296"/>
      <c r="P330" s="48" t="s">
        <v>1345</v>
      </c>
      <c r="Q330" s="245">
        <f>GIS!T110*GIS!$C52</f>
        <v>19396121.107134167</v>
      </c>
    </row>
    <row r="331" spans="1:17" ht="14.5">
      <c r="A331" s="295"/>
      <c r="B331" s="296"/>
      <c r="P331" s="48" t="s">
        <v>1346</v>
      </c>
      <c r="Q331" s="245">
        <f>GIS!T111*GIS!$C53</f>
        <v>0</v>
      </c>
    </row>
    <row r="332" spans="1:17" ht="14.5">
      <c r="A332" s="295"/>
      <c r="B332" s="296"/>
      <c r="P332" s="48" t="s">
        <v>1347</v>
      </c>
      <c r="Q332" s="245">
        <f>GIS!T112*GIS!$C54</f>
        <v>0</v>
      </c>
    </row>
    <row r="333" spans="1:17">
      <c r="O333" s="13"/>
    </row>
    <row r="334" spans="1:17">
      <c r="A334" s="241"/>
      <c r="B334" s="241"/>
      <c r="C334" s="241"/>
      <c r="D334" s="241"/>
      <c r="E334" s="241"/>
      <c r="F334" s="241"/>
      <c r="G334" s="241"/>
      <c r="H334" s="241"/>
      <c r="I334" s="241"/>
      <c r="J334" s="241"/>
      <c r="K334" s="241"/>
      <c r="L334" s="241"/>
      <c r="M334" s="241"/>
      <c r="N334" s="241"/>
      <c r="O334" s="241"/>
      <c r="P334" s="241"/>
      <c r="Q334" s="241"/>
    </row>
    <row r="335" spans="1:17" ht="13">
      <c r="P335" s="246" t="s">
        <v>2719</v>
      </c>
      <c r="Q335" s="18"/>
    </row>
    <row r="336" spans="1:17" ht="13">
      <c r="A336" s="285" t="s">
        <v>2700</v>
      </c>
      <c r="B336" s="286"/>
      <c r="D336" s="105" t="s">
        <v>228</v>
      </c>
      <c r="E336" s="105"/>
      <c r="F336" s="105"/>
      <c r="G336" s="93"/>
      <c r="H336" s="105" t="s">
        <v>228</v>
      </c>
      <c r="I336" s="93"/>
      <c r="J336" s="105" t="s">
        <v>228</v>
      </c>
      <c r="K336" s="105"/>
      <c r="L336" s="93"/>
      <c r="M336" s="105" t="s">
        <v>228</v>
      </c>
      <c r="N336" s="105"/>
      <c r="P336" s="870" t="s">
        <v>2702</v>
      </c>
      <c r="Q336" s="871" t="s">
        <v>1467</v>
      </c>
    </row>
    <row r="337" spans="1:17" ht="13">
      <c r="A337" s="286">
        <f>A289</f>
        <v>2019</v>
      </c>
      <c r="B337" s="286"/>
      <c r="D337" s="105" t="s">
        <v>213</v>
      </c>
      <c r="E337" s="105"/>
      <c r="F337" s="105"/>
      <c r="G337" s="93"/>
      <c r="H337" s="105" t="s">
        <v>214</v>
      </c>
      <c r="I337" s="93"/>
      <c r="J337" s="105" t="s">
        <v>215</v>
      </c>
      <c r="K337" s="105"/>
      <c r="L337" s="93"/>
      <c r="M337" s="105" t="s">
        <v>216</v>
      </c>
      <c r="N337" s="105"/>
      <c r="P337" s="870"/>
      <c r="Q337" s="871" t="s">
        <v>1362</v>
      </c>
    </row>
    <row r="338" spans="1:17" ht="35.5">
      <c r="A338" s="287"/>
      <c r="B338" s="288" t="s">
        <v>341</v>
      </c>
      <c r="C338" s="13"/>
      <c r="D338" s="107" t="s">
        <v>217</v>
      </c>
      <c r="E338" s="107" t="s">
        <v>218</v>
      </c>
      <c r="F338" s="107" t="str">
        <f>F314</f>
        <v>Heat Input from GIS certificates (MMBtu)</v>
      </c>
      <c r="G338" s="93"/>
      <c r="H338" s="92" t="s">
        <v>339</v>
      </c>
      <c r="I338" s="106"/>
      <c r="J338" s="90" t="s">
        <v>340</v>
      </c>
      <c r="K338" s="91" t="s">
        <v>341</v>
      </c>
      <c r="L338" s="106"/>
      <c r="M338" s="90" t="s">
        <v>342</v>
      </c>
      <c r="N338" s="91" t="s">
        <v>341</v>
      </c>
      <c r="P338" s="187" t="s">
        <v>2423</v>
      </c>
      <c r="Q338" s="245">
        <f>GIS!Y119*GIS!$C36</f>
        <v>0</v>
      </c>
    </row>
    <row r="339" spans="1:17" ht="14.5">
      <c r="A339" s="289" t="s">
        <v>220</v>
      </c>
      <c r="B339" s="290">
        <f>SUM(B340:B344)+F343</f>
        <v>263384981.58759278</v>
      </c>
      <c r="D339" s="90" t="s">
        <v>221</v>
      </c>
      <c r="E339" s="106"/>
      <c r="G339" s="93"/>
      <c r="H339" s="93"/>
      <c r="I339" s="93"/>
      <c r="J339" s="106"/>
      <c r="K339" s="106"/>
      <c r="L339" s="93"/>
      <c r="M339" s="106"/>
      <c r="N339" s="106"/>
      <c r="P339" s="48" t="s">
        <v>1330</v>
      </c>
      <c r="Q339" s="245">
        <f>GIS!Y120*GIS!$C37</f>
        <v>701792.29733624414</v>
      </c>
    </row>
    <row r="340" spans="1:17" ht="14.5">
      <c r="A340" s="291" t="s">
        <v>1471</v>
      </c>
      <c r="B340" s="292">
        <f>H343</f>
        <v>251974245.28349254</v>
      </c>
      <c r="D340" s="109" t="s">
        <v>2686</v>
      </c>
      <c r="E340" s="134" t="s">
        <v>48</v>
      </c>
      <c r="F340" s="135">
        <f>Q341+Q352</f>
        <v>0</v>
      </c>
      <c r="G340" s="93"/>
      <c r="H340" s="111">
        <f>F340*'GWPs &amp; Fuel EFs'!$N$7</f>
        <v>0</v>
      </c>
      <c r="I340" s="93"/>
      <c r="J340" s="111">
        <f>F340*'GWPs &amp; Fuel EFs'!$M$35</f>
        <v>0</v>
      </c>
      <c r="K340" s="111">
        <f>J340*'GWPs &amp; Fuel EFs'!$D$11</f>
        <v>0</v>
      </c>
      <c r="L340" s="93"/>
      <c r="M340" s="111">
        <f>F340*'GWPs &amp; Fuel EFs'!$M$63</f>
        <v>0</v>
      </c>
      <c r="N340" s="111">
        <f>M340*'GWPs &amp; Fuel EFs'!$E$11</f>
        <v>0</v>
      </c>
      <c r="P340" s="48" t="s">
        <v>1331</v>
      </c>
      <c r="Q340" s="245">
        <f>GIS!Y121*GIS!$C38</f>
        <v>0</v>
      </c>
    </row>
    <row r="341" spans="1:17" ht="14.5">
      <c r="A341" s="291" t="s">
        <v>222</v>
      </c>
      <c r="B341" s="292">
        <f>K343</f>
        <v>2060858.0584800364</v>
      </c>
      <c r="D341" s="109" t="s">
        <v>388</v>
      </c>
      <c r="E341" s="134" t="s">
        <v>41</v>
      </c>
      <c r="F341" s="135">
        <f>Q350</f>
        <v>0</v>
      </c>
      <c r="G341" s="93"/>
      <c r="H341" s="111">
        <f>F341*'GWPs &amp; Fuel EFs'!$N$8</f>
        <v>0</v>
      </c>
      <c r="I341" s="93"/>
      <c r="J341" s="111">
        <f>F341*'GWPs &amp; Fuel EFs'!$M$36</f>
        <v>0</v>
      </c>
      <c r="K341" s="111">
        <f>J341*'GWPs &amp; Fuel EFs'!$D$11</f>
        <v>0</v>
      </c>
      <c r="L341" s="93"/>
      <c r="M341" s="111">
        <f>F341*'GWPs &amp; Fuel EFs'!$M$64</f>
        <v>0</v>
      </c>
      <c r="N341" s="111">
        <f>M341*'GWPs &amp; Fuel EFs'!$E$11</f>
        <v>0</v>
      </c>
      <c r="P341" s="48" t="s">
        <v>1332</v>
      </c>
      <c r="Q341" s="245">
        <f>GIS!Y122*GIS!$C39</f>
        <v>0</v>
      </c>
    </row>
    <row r="342" spans="1:17" ht="14.5">
      <c r="A342" s="291" t="s">
        <v>223</v>
      </c>
      <c r="B342" s="292">
        <f>N343</f>
        <v>3275390.4076109393</v>
      </c>
      <c r="D342" s="109" t="s">
        <v>402</v>
      </c>
      <c r="E342" s="134" t="s">
        <v>19</v>
      </c>
      <c r="F342" s="135">
        <f>(Q349+Q354)*'GIS Heat Input'!F42</f>
        <v>1243522.0861510269</v>
      </c>
      <c r="G342" s="93"/>
      <c r="H342" s="111">
        <f>F342*'GWPs &amp; Fuel EFs'!$N$9</f>
        <v>251974245.28349254</v>
      </c>
      <c r="I342" s="93"/>
      <c r="J342" s="111">
        <f>F342*'GWPs &amp; Fuel EFs'!$M$37</f>
        <v>82434.322339201462</v>
      </c>
      <c r="K342" s="111">
        <f>J342*'GWPs &amp; Fuel EFs'!$D$11</f>
        <v>2060858.0584800364</v>
      </c>
      <c r="L342" s="93"/>
      <c r="M342" s="111">
        <f>F342*'GWPs &amp; Fuel EFs'!$M$65</f>
        <v>10991.2429785602</v>
      </c>
      <c r="N342" s="111">
        <f>M342*'GWPs &amp; Fuel EFs'!$E$11</f>
        <v>3275390.4076109393</v>
      </c>
      <c r="P342" s="48" t="s">
        <v>1333</v>
      </c>
      <c r="Q342" s="245">
        <f>GIS!Y123*GIS!$C40</f>
        <v>0</v>
      </c>
    </row>
    <row r="343" spans="1:17" ht="14.5">
      <c r="A343" s="291" t="s">
        <v>224</v>
      </c>
      <c r="B343" s="292">
        <f>K351</f>
        <v>1875882.36807568</v>
      </c>
      <c r="D343" s="109"/>
      <c r="E343" s="113"/>
      <c r="F343" s="108"/>
      <c r="G343" s="93"/>
      <c r="H343" s="114">
        <f>SUM(H340:H342)</f>
        <v>251974245.28349254</v>
      </c>
      <c r="I343" s="93"/>
      <c r="J343" s="111"/>
      <c r="K343" s="114">
        <f>SUM(K340:K342)</f>
        <v>2060858.0584800364</v>
      </c>
      <c r="L343" s="93"/>
      <c r="M343" s="111"/>
      <c r="N343" s="114">
        <f>SUM(N340:N342)</f>
        <v>3275390.4076109393</v>
      </c>
      <c r="P343" s="48" t="s">
        <v>1334</v>
      </c>
      <c r="Q343" s="245">
        <f>GIS!Y124*GIS!$C41</f>
        <v>0</v>
      </c>
    </row>
    <row r="344" spans="1:17" ht="14.5">
      <c r="A344" s="291" t="s">
        <v>225</v>
      </c>
      <c r="B344" s="292">
        <f>N351</f>
        <v>4198605.4699335974</v>
      </c>
      <c r="E344" s="93"/>
      <c r="G344" s="93"/>
      <c r="O344" s="16"/>
      <c r="P344" s="48" t="s">
        <v>1335</v>
      </c>
      <c r="Q344" s="245">
        <f>GIS!Y125*GIS!$C42</f>
        <v>0</v>
      </c>
    </row>
    <row r="345" spans="1:17" ht="14.5">
      <c r="A345" s="291"/>
      <c r="B345" s="291"/>
      <c r="P345" s="53" t="s">
        <v>1336</v>
      </c>
      <c r="Q345" s="245">
        <f>GIS!Y126*GIS!$C43</f>
        <v>0</v>
      </c>
    </row>
    <row r="346" spans="1:17" ht="14.5">
      <c r="A346" s="291"/>
      <c r="B346" s="291"/>
      <c r="D346" s="90" t="s">
        <v>227</v>
      </c>
      <c r="E346" s="93"/>
      <c r="F346" s="108"/>
      <c r="P346" s="53" t="s">
        <v>1337</v>
      </c>
      <c r="Q346" s="245">
        <f>GIS!Y127*GIS!$C44</f>
        <v>0</v>
      </c>
    </row>
    <row r="347" spans="1:17" ht="14.5">
      <c r="A347" s="293" t="s">
        <v>226</v>
      </c>
      <c r="B347" s="290">
        <f>H351</f>
        <v>358111313.76955497</v>
      </c>
      <c r="D347" s="112" t="s">
        <v>396</v>
      </c>
      <c r="E347" s="134" t="s">
        <v>65</v>
      </c>
      <c r="F347" s="135">
        <f>Q348</f>
        <v>0</v>
      </c>
      <c r="G347" s="93"/>
      <c r="H347" s="111">
        <f>F347*'GWPs &amp; Fuel EFs'!$N$20</f>
        <v>0</v>
      </c>
      <c r="I347" s="93"/>
      <c r="J347" s="111">
        <f>F347*'GWPs &amp; Fuel EFs'!$M$48</f>
        <v>0</v>
      </c>
      <c r="K347" s="111">
        <f>J347*'GWPs &amp; Fuel EFs'!$D$11</f>
        <v>0</v>
      </c>
      <c r="L347" s="93"/>
      <c r="M347" s="111">
        <f>F347*'GWPs &amp; Fuel EFs'!$M$76</f>
        <v>0</v>
      </c>
      <c r="N347" s="111">
        <f>M347*'GWPs &amp; Fuel EFs'!$E$11</f>
        <v>0</v>
      </c>
      <c r="P347" s="48" t="s">
        <v>1338</v>
      </c>
      <c r="Q347" s="245">
        <f>GIS!Y128*GIS!$C45</f>
        <v>0</v>
      </c>
    </row>
    <row r="348" spans="1:17" ht="14.5">
      <c r="A348" s="291"/>
      <c r="B348" s="294"/>
      <c r="D348" s="112" t="s">
        <v>399</v>
      </c>
      <c r="E348" s="134" t="s">
        <v>18</v>
      </c>
      <c r="F348" s="135">
        <f>(Q349+Q354)*'GIS Heat Input'!F45</f>
        <v>1017412.6188319705</v>
      </c>
      <c r="G348" s="93"/>
      <c r="H348" s="111">
        <f>F348*'GWPs &amp; Fuel EFs'!$N$21</f>
        <v>212985156.91877538</v>
      </c>
      <c r="I348" s="93"/>
      <c r="J348" s="111">
        <f>F348*'GWPs &amp; Fuel EFs'!$M$49</f>
        <v>63895.54707563261</v>
      </c>
      <c r="K348" s="111">
        <f>J348*'GWPs &amp; Fuel EFs'!$D$11</f>
        <v>1597388.6768908151</v>
      </c>
      <c r="L348" s="93"/>
      <c r="M348" s="111">
        <f>F348*'GWPs &amp; Fuel EFs'!$M$77</f>
        <v>8519.406276751015</v>
      </c>
      <c r="N348" s="111">
        <f>M348*'GWPs &amp; Fuel EFs'!$E$11</f>
        <v>2538783.0704718023</v>
      </c>
      <c r="P348" s="48" t="s">
        <v>1339</v>
      </c>
      <c r="Q348" s="245">
        <f>GIS!Y129*GIS!$C46</f>
        <v>0</v>
      </c>
    </row>
    <row r="349" spans="1:17" ht="14.5">
      <c r="A349" s="291"/>
      <c r="B349" s="291"/>
      <c r="D349" s="112" t="s">
        <v>404</v>
      </c>
      <c r="E349" s="134" t="s">
        <v>71</v>
      </c>
      <c r="F349" s="135">
        <f>Q339+Q356</f>
        <v>701792.29733624414</v>
      </c>
      <c r="G349" s="93"/>
      <c r="H349" s="111">
        <f>F349*'GWPs &amp; Fuel EFs'!$N$23</f>
        <v>145126156.85077959</v>
      </c>
      <c r="I349" s="93"/>
      <c r="J349" s="111">
        <f>F349*'GWPs &amp; Fuel EFs'!$M$51</f>
        <v>11139.747647394597</v>
      </c>
      <c r="K349" s="111">
        <f>J349*'GWPs &amp; Fuel EFs'!$D$11</f>
        <v>278493.6911848649</v>
      </c>
      <c r="L349" s="93"/>
      <c r="M349" s="111">
        <f>F349*'GWPs &amp; Fuel EFs'!$M$79</f>
        <v>5569.8738236972986</v>
      </c>
      <c r="N349" s="111">
        <f>M349*'GWPs &amp; Fuel EFs'!$E$11</f>
        <v>1659822.3994617949</v>
      </c>
      <c r="P349" s="48" t="s">
        <v>1340</v>
      </c>
      <c r="Q349" s="245">
        <f>GIS!Y130*GIS!$C47</f>
        <v>298182.47833402612</v>
      </c>
    </row>
    <row r="350" spans="1:17" ht="14.5">
      <c r="A350" s="291"/>
      <c r="B350" s="291"/>
      <c r="D350" s="120" t="s">
        <v>2425</v>
      </c>
      <c r="E350" s="134" t="s">
        <v>70</v>
      </c>
      <c r="F350" s="135">
        <f>Q338+Q342</f>
        <v>0</v>
      </c>
      <c r="G350" s="93"/>
      <c r="H350" s="111">
        <f>F350*'GWPs &amp; Fuel EFs'!$N$27</f>
        <v>0</v>
      </c>
      <c r="I350" s="93"/>
      <c r="J350" s="111">
        <f>F350*'GWPs &amp; Fuel EFs'!$M$55</f>
        <v>0</v>
      </c>
      <c r="K350" s="111">
        <f>J350*'GWPs &amp; Fuel EFs'!$D$11</f>
        <v>0</v>
      </c>
      <c r="L350" s="93"/>
      <c r="M350" s="111">
        <f>F350*'GWPs &amp; Fuel EFs'!$M$83</f>
        <v>0</v>
      </c>
      <c r="N350" s="111">
        <f>M350*'GWPs &amp; Fuel EFs'!$E$11</f>
        <v>0</v>
      </c>
      <c r="O350" s="13"/>
      <c r="P350" s="48" t="s">
        <v>1341</v>
      </c>
      <c r="Q350" s="245">
        <f>GIS!Y131*GIS!$C48</f>
        <v>0</v>
      </c>
    </row>
    <row r="351" spans="1:17" ht="14.5">
      <c r="A351" s="291"/>
      <c r="B351" s="291"/>
      <c r="C351" s="16"/>
      <c r="D351" s="120"/>
      <c r="F351" s="108"/>
      <c r="G351" s="93"/>
      <c r="H351" s="115">
        <f>SUM(H347:H350)</f>
        <v>358111313.76955497</v>
      </c>
      <c r="I351" s="93"/>
      <c r="J351" s="93"/>
      <c r="K351" s="114">
        <f>SUM(K347:K350)</f>
        <v>1875882.36807568</v>
      </c>
      <c r="L351" s="93"/>
      <c r="M351" s="93"/>
      <c r="N351" s="114">
        <f>SUM(N347:N350)</f>
        <v>4198605.4699335974</v>
      </c>
      <c r="P351" s="48" t="s">
        <v>1342</v>
      </c>
      <c r="Q351" s="245">
        <f>GIS!Y132*GIS!$C49</f>
        <v>0</v>
      </c>
    </row>
    <row r="352" spans="1:17" ht="14.5">
      <c r="A352" s="291"/>
      <c r="B352" s="291"/>
      <c r="C352" s="16"/>
      <c r="D352" s="112"/>
      <c r="E352" s="113"/>
      <c r="F352" s="111"/>
      <c r="G352" s="119"/>
      <c r="P352" s="48" t="s">
        <v>1343</v>
      </c>
      <c r="Q352" s="245">
        <f>GIS!Y133*GIS!$C50</f>
        <v>0</v>
      </c>
    </row>
    <row r="353" spans="1:17" ht="14.5">
      <c r="A353" s="291"/>
      <c r="B353" s="291"/>
      <c r="D353" s="112"/>
      <c r="E353" s="113"/>
      <c r="F353" s="111"/>
      <c r="G353" s="119"/>
      <c r="P353" s="59" t="s">
        <v>1344</v>
      </c>
      <c r="Q353" s="245">
        <f>GIS!Y134*GIS!$C51</f>
        <v>0</v>
      </c>
    </row>
    <row r="354" spans="1:17" ht="14.5">
      <c r="A354" s="291"/>
      <c r="B354" s="291"/>
      <c r="D354" s="112"/>
      <c r="E354" s="113"/>
      <c r="F354" s="111"/>
      <c r="G354" s="119"/>
      <c r="P354" s="48" t="s">
        <v>1345</v>
      </c>
      <c r="Q354" s="245">
        <f>GIS!Y135*GIS!$C52</f>
        <v>1962752.2266489714</v>
      </c>
    </row>
    <row r="355" spans="1:17" ht="14.5">
      <c r="A355" s="291"/>
      <c r="B355" s="291"/>
      <c r="P355" s="48" t="s">
        <v>1346</v>
      </c>
      <c r="Q355" s="245">
        <f>GIS!Y136*GIS!$C53</f>
        <v>0</v>
      </c>
    </row>
    <row r="356" spans="1:17" ht="14.5">
      <c r="A356" s="291"/>
      <c r="B356" s="291"/>
      <c r="P356" s="48" t="s">
        <v>1347</v>
      </c>
      <c r="Q356" s="245">
        <f>GIS!Y137*GIS!$C54</f>
        <v>0</v>
      </c>
    </row>
    <row r="358" spans="1:17">
      <c r="A358" s="241"/>
      <c r="B358" s="241"/>
      <c r="C358" s="241"/>
      <c r="D358" s="241"/>
      <c r="E358" s="241"/>
      <c r="F358" s="241"/>
      <c r="G358" s="241"/>
      <c r="H358" s="241"/>
      <c r="I358" s="241"/>
      <c r="J358" s="241"/>
      <c r="K358" s="241"/>
      <c r="L358" s="241"/>
      <c r="M358" s="241"/>
      <c r="N358" s="241"/>
      <c r="O358" s="241"/>
      <c r="P358" s="241"/>
      <c r="Q358" s="241"/>
    </row>
    <row r="359" spans="1:17" ht="13">
      <c r="P359" s="246" t="s">
        <v>2718</v>
      </c>
      <c r="Q359" s="18"/>
    </row>
    <row r="360" spans="1:17" ht="13">
      <c r="A360" s="285" t="s">
        <v>2701</v>
      </c>
      <c r="B360" s="286"/>
      <c r="D360" s="105" t="s">
        <v>229</v>
      </c>
      <c r="E360" s="105"/>
      <c r="F360" s="105"/>
      <c r="G360" s="93"/>
      <c r="H360" s="105" t="s">
        <v>229</v>
      </c>
      <c r="I360" s="93"/>
      <c r="J360" s="105" t="s">
        <v>229</v>
      </c>
      <c r="K360" s="105"/>
      <c r="L360" s="93"/>
      <c r="M360" s="105" t="s">
        <v>229</v>
      </c>
      <c r="N360" s="105"/>
      <c r="P360" s="870" t="s">
        <v>2702</v>
      </c>
      <c r="Q360" s="871" t="s">
        <v>1412</v>
      </c>
    </row>
    <row r="361" spans="1:17" ht="13">
      <c r="A361" s="286">
        <f>A289</f>
        <v>2019</v>
      </c>
      <c r="B361" s="286"/>
      <c r="D361" s="105" t="s">
        <v>213</v>
      </c>
      <c r="E361" s="105"/>
      <c r="F361" s="105"/>
      <c r="G361" s="93"/>
      <c r="H361" s="105" t="s">
        <v>214</v>
      </c>
      <c r="I361" s="93"/>
      <c r="J361" s="105" t="s">
        <v>215</v>
      </c>
      <c r="K361" s="105"/>
      <c r="L361" s="93"/>
      <c r="M361" s="105" t="s">
        <v>216</v>
      </c>
      <c r="N361" s="105"/>
      <c r="O361" s="16"/>
      <c r="P361" s="870"/>
      <c r="Q361" s="871"/>
    </row>
    <row r="362" spans="1:17" ht="35.5">
      <c r="A362" s="287"/>
      <c r="B362" s="288" t="s">
        <v>341</v>
      </c>
      <c r="C362" s="13"/>
      <c r="D362" s="107" t="s">
        <v>217</v>
      </c>
      <c r="E362" s="107" t="s">
        <v>218</v>
      </c>
      <c r="F362" s="107" t="str">
        <f>F314</f>
        <v>Heat Input from GIS certificates (MMBtu)</v>
      </c>
      <c r="G362" s="93"/>
      <c r="H362" s="92" t="s">
        <v>339</v>
      </c>
      <c r="I362" s="106"/>
      <c r="J362" s="90" t="s">
        <v>340</v>
      </c>
      <c r="K362" s="91" t="s">
        <v>341</v>
      </c>
      <c r="L362" s="106"/>
      <c r="M362" s="90" t="s">
        <v>342</v>
      </c>
      <c r="N362" s="91" t="s">
        <v>341</v>
      </c>
      <c r="O362" s="16"/>
      <c r="P362" s="187" t="s">
        <v>2423</v>
      </c>
      <c r="Q362" s="245">
        <f>GIS!Z144*GIS!$C36</f>
        <v>0</v>
      </c>
    </row>
    <row r="363" spans="1:17" ht="14.5">
      <c r="A363" s="289" t="s">
        <v>220</v>
      </c>
      <c r="B363" s="290">
        <f>SUM(B364:B368)</f>
        <v>17705323.26825894</v>
      </c>
      <c r="D363" s="90" t="s">
        <v>221</v>
      </c>
      <c r="E363" s="90"/>
      <c r="F363" s="90"/>
      <c r="G363" s="93"/>
      <c r="H363" s="93"/>
      <c r="I363" s="93"/>
      <c r="J363" s="106"/>
      <c r="K363" s="106"/>
      <c r="L363" s="93"/>
      <c r="M363" s="106"/>
      <c r="N363" s="106"/>
      <c r="P363" s="48" t="s">
        <v>1330</v>
      </c>
      <c r="Q363" s="245">
        <f>GIS!Z145*GIS!$C37</f>
        <v>3635710.0846332023</v>
      </c>
    </row>
    <row r="364" spans="1:17" ht="14.5">
      <c r="A364" s="291" t="s">
        <v>1472</v>
      </c>
      <c r="B364" s="292">
        <f>H367</f>
        <v>0</v>
      </c>
      <c r="D364" s="109" t="s">
        <v>2686</v>
      </c>
      <c r="E364" s="134" t="s">
        <v>48</v>
      </c>
      <c r="F364" s="135">
        <f>Q365+Q376</f>
        <v>0</v>
      </c>
      <c r="G364" s="93"/>
      <c r="H364" s="111">
        <f>F364*'GWPs &amp; Fuel EFs'!$N$7</f>
        <v>0</v>
      </c>
      <c r="I364" s="93"/>
      <c r="J364" s="111">
        <f>F364*'GWPs &amp; Fuel EFs'!$M$35</f>
        <v>0</v>
      </c>
      <c r="K364" s="111">
        <f>J364*'GWPs &amp; Fuel EFs'!$D$11</f>
        <v>0</v>
      </c>
      <c r="L364" s="93"/>
      <c r="M364" s="111">
        <f>F364*'GWPs &amp; Fuel EFs'!$M$63</f>
        <v>0</v>
      </c>
      <c r="N364" s="111">
        <f>M364*'GWPs &amp; Fuel EFs'!$E$11</f>
        <v>0</v>
      </c>
      <c r="P364" s="48" t="s">
        <v>1331</v>
      </c>
      <c r="Q364" s="245">
        <f>GIS!Z146*GIS!$C38</f>
        <v>0</v>
      </c>
    </row>
    <row r="365" spans="1:17" ht="14.5">
      <c r="A365" s="291" t="s">
        <v>222</v>
      </c>
      <c r="B365" s="292">
        <f>K367</f>
        <v>0</v>
      </c>
      <c r="D365" s="109" t="s">
        <v>388</v>
      </c>
      <c r="E365" s="134" t="s">
        <v>41</v>
      </c>
      <c r="F365" s="135">
        <f>Q374</f>
        <v>0</v>
      </c>
      <c r="G365" s="93"/>
      <c r="H365" s="111">
        <f>F365*'GWPs &amp; Fuel EFs'!$N$8</f>
        <v>0</v>
      </c>
      <c r="I365" s="93"/>
      <c r="J365" s="111">
        <f>F365*'GWPs &amp; Fuel EFs'!$M$36</f>
        <v>0</v>
      </c>
      <c r="K365" s="111">
        <f>J365*'GWPs &amp; Fuel EFs'!$D$11</f>
        <v>0</v>
      </c>
      <c r="L365" s="93"/>
      <c r="M365" s="111">
        <f>F365*'GWPs &amp; Fuel EFs'!$M$64</f>
        <v>0</v>
      </c>
      <c r="N365" s="111">
        <f>M365*'GWPs &amp; Fuel EFs'!$E$11</f>
        <v>0</v>
      </c>
      <c r="P365" s="48" t="s">
        <v>1332</v>
      </c>
      <c r="Q365" s="245">
        <f>GIS!Z147*GIS!$C39</f>
        <v>0</v>
      </c>
    </row>
    <row r="366" spans="1:17" ht="14.5">
      <c r="A366" s="291" t="s">
        <v>223</v>
      </c>
      <c r="B366" s="292">
        <f>N367</f>
        <v>0</v>
      </c>
      <c r="D366" s="109" t="s">
        <v>402</v>
      </c>
      <c r="E366" s="134" t="s">
        <v>19</v>
      </c>
      <c r="F366" s="135">
        <f>(Q373+Q378)*'GIS Heat Input'!F54</f>
        <v>0</v>
      </c>
      <c r="G366" s="93"/>
      <c r="H366" s="111">
        <f>F366*'GWPs &amp; Fuel EFs'!$N$9</f>
        <v>0</v>
      </c>
      <c r="I366" s="93"/>
      <c r="J366" s="111">
        <f>F366*'GWPs &amp; Fuel EFs'!$M$37</f>
        <v>0</v>
      </c>
      <c r="K366" s="111">
        <f>J366*'GWPs &amp; Fuel EFs'!$D$11</f>
        <v>0</v>
      </c>
      <c r="L366" s="93"/>
      <c r="M366" s="111">
        <f>F366*'GWPs &amp; Fuel EFs'!$M$65</f>
        <v>0</v>
      </c>
      <c r="N366" s="111">
        <f>M366*'GWPs &amp; Fuel EFs'!$E$11</f>
        <v>0</v>
      </c>
      <c r="P366" s="48" t="s">
        <v>1333</v>
      </c>
      <c r="Q366" s="245">
        <f>GIS!Z148*GIS!$C40</f>
        <v>0</v>
      </c>
    </row>
    <row r="367" spans="1:17" ht="14.5">
      <c r="A367" s="291" t="s">
        <v>224</v>
      </c>
      <c r="B367" s="292">
        <f>K375</f>
        <v>2593242.5466229664</v>
      </c>
      <c r="D367" s="109"/>
      <c r="E367" s="113"/>
      <c r="F367" s="108"/>
      <c r="G367" s="93"/>
      <c r="H367" s="114">
        <f>SUM(H364:H366)</f>
        <v>0</v>
      </c>
      <c r="I367" s="93"/>
      <c r="J367" s="111"/>
      <c r="K367" s="114">
        <f>SUM(K364:K366)</f>
        <v>0</v>
      </c>
      <c r="L367" s="93"/>
      <c r="M367" s="111"/>
      <c r="N367" s="114">
        <f>SUM(N364:N366)</f>
        <v>0</v>
      </c>
      <c r="P367" s="48" t="s">
        <v>1334</v>
      </c>
      <c r="Q367" s="245">
        <f>GIS!Z149*GIS!$C41</f>
        <v>0</v>
      </c>
    </row>
    <row r="368" spans="1:17" ht="14.5">
      <c r="A368" s="291" t="s">
        <v>225</v>
      </c>
      <c r="B368" s="292">
        <f>N375</f>
        <v>15112080.721635975</v>
      </c>
      <c r="E368" s="93"/>
      <c r="O368" s="13"/>
      <c r="P368" s="48" t="s">
        <v>1335</v>
      </c>
      <c r="Q368" s="245">
        <f>GIS!Z150*GIS!$C42</f>
        <v>0</v>
      </c>
    </row>
    <row r="369" spans="1:17" ht="14.5">
      <c r="A369" s="291"/>
      <c r="B369" s="291"/>
      <c r="P369" s="53" t="s">
        <v>1336</v>
      </c>
      <c r="Q369" s="245">
        <f>GIS!Z151*GIS!$C43</f>
        <v>0</v>
      </c>
    </row>
    <row r="370" spans="1:17" ht="14.5">
      <c r="A370" s="293" t="s">
        <v>226</v>
      </c>
      <c r="B370" s="290">
        <f>H375</f>
        <v>1363708940.6617115</v>
      </c>
      <c r="D370" s="90" t="s">
        <v>227</v>
      </c>
      <c r="E370" s="93"/>
      <c r="F370" s="108"/>
      <c r="G370" s="93"/>
      <c r="H370" s="114"/>
      <c r="I370" s="93"/>
      <c r="J370" s="111"/>
      <c r="K370" s="114"/>
      <c r="L370" s="93"/>
      <c r="M370" s="111"/>
      <c r="N370" s="114"/>
      <c r="P370" s="53" t="s">
        <v>1337</v>
      </c>
      <c r="Q370" s="245">
        <f>GIS!Z152*GIS!$C44</f>
        <v>0</v>
      </c>
    </row>
    <row r="371" spans="1:17" ht="14.5">
      <c r="A371" s="291"/>
      <c r="B371" s="294"/>
      <c r="D371" s="112" t="s">
        <v>396</v>
      </c>
      <c r="E371" s="134" t="s">
        <v>65</v>
      </c>
      <c r="F371" s="135">
        <f>Q372</f>
        <v>539246.81695676583</v>
      </c>
      <c r="G371" s="93"/>
      <c r="H371" s="111">
        <f>F371*'GWPs &amp; Fuel EFs'!$N$20</f>
        <v>61902676.483275853</v>
      </c>
      <c r="I371" s="93"/>
      <c r="J371" s="111">
        <f>F371*'GWPs &amp; Fuel EFs'!$M$48</f>
        <v>3804.2743373628336</v>
      </c>
      <c r="K371" s="111">
        <f>J371*'GWPs &amp; Fuel EFs'!$D$11</f>
        <v>95106.858434070848</v>
      </c>
      <c r="L371" s="93"/>
      <c r="M371" s="111">
        <f>F371*'GWPs &amp; Fuel EFs'!$M$76</f>
        <v>748.96651016830788</v>
      </c>
      <c r="N371" s="111">
        <f>M371*'GWPs &amp; Fuel EFs'!$E$11</f>
        <v>223192.02003015575</v>
      </c>
      <c r="P371" s="48" t="s">
        <v>1338</v>
      </c>
      <c r="Q371" s="245">
        <f>GIS!Z153*GIS!$C45</f>
        <v>0</v>
      </c>
    </row>
    <row r="372" spans="1:17" ht="14.5">
      <c r="A372" s="291"/>
      <c r="B372" s="291"/>
      <c r="D372" s="112" t="s">
        <v>399</v>
      </c>
      <c r="E372" s="134" t="s">
        <v>18</v>
      </c>
      <c r="F372" s="135">
        <f>(Q373+Q378)*'GIS Heat Input'!F57</f>
        <v>0</v>
      </c>
      <c r="G372" s="93"/>
      <c r="H372" s="111">
        <f>F372*'GWPs &amp; Fuel EFs'!$N$21</f>
        <v>0</v>
      </c>
      <c r="I372" s="93"/>
      <c r="J372" s="111">
        <f>F372*'GWPs &amp; Fuel EFs'!$M$49</f>
        <v>0</v>
      </c>
      <c r="K372" s="111">
        <f>J372*'GWPs &amp; Fuel EFs'!$D$11</f>
        <v>0</v>
      </c>
      <c r="L372" s="93"/>
      <c r="M372" s="111">
        <f>F372*'GWPs &amp; Fuel EFs'!$M$77</f>
        <v>0</v>
      </c>
      <c r="N372" s="111">
        <f>M372*'GWPs &amp; Fuel EFs'!$E$11</f>
        <v>0</v>
      </c>
      <c r="P372" s="48" t="s">
        <v>1339</v>
      </c>
      <c r="Q372" s="245">
        <f>GIS!Z154*GIS!$C46</f>
        <v>539246.81695676583</v>
      </c>
    </row>
    <row r="373" spans="1:17" ht="14.5">
      <c r="A373" s="291"/>
      <c r="B373" s="291"/>
      <c r="D373" s="112" t="s">
        <v>404</v>
      </c>
      <c r="E373" s="134" t="s">
        <v>71</v>
      </c>
      <c r="F373" s="135">
        <f>Q363+Q380</f>
        <v>6295196.0463189939</v>
      </c>
      <c r="G373" s="118"/>
      <c r="H373" s="111">
        <f>F373*'GWPs &amp; Fuel EFs'!$N$23</f>
        <v>1301806264.1784356</v>
      </c>
      <c r="I373" s="93"/>
      <c r="J373" s="111">
        <f>F373*'GWPs &amp; Fuel EFs'!$M$51</f>
        <v>99925.427527555832</v>
      </c>
      <c r="K373" s="111">
        <f>J373*'GWPs &amp; Fuel EFs'!$D$11</f>
        <v>2498135.6881888956</v>
      </c>
      <c r="L373" s="93"/>
      <c r="M373" s="111">
        <f>F373*'GWPs &amp; Fuel EFs'!$M$79</f>
        <v>49962.713763777916</v>
      </c>
      <c r="N373" s="111">
        <f>M373*'GWPs &amp; Fuel EFs'!$E$11</f>
        <v>14888888.701605819</v>
      </c>
      <c r="P373" s="48" t="s">
        <v>1340</v>
      </c>
      <c r="Q373" s="245">
        <f>GIS!Z155*GIS!$C47</f>
        <v>0</v>
      </c>
    </row>
    <row r="374" spans="1:17" ht="14.5">
      <c r="A374" s="293"/>
      <c r="B374" s="290"/>
      <c r="D374" s="120" t="s">
        <v>2425</v>
      </c>
      <c r="E374" s="134" t="s">
        <v>70</v>
      </c>
      <c r="F374" s="135">
        <f>Q362+Q366</f>
        <v>0</v>
      </c>
      <c r="G374" s="93"/>
      <c r="H374" s="111">
        <f>F374*'GWPs &amp; Fuel EFs'!$N$27</f>
        <v>0</v>
      </c>
      <c r="I374" s="93"/>
      <c r="J374" s="111">
        <f>F374*'GWPs &amp; Fuel EFs'!$M$55</f>
        <v>0</v>
      </c>
      <c r="K374" s="111">
        <f>J374*'GWPs &amp; Fuel EFs'!$D$11</f>
        <v>0</v>
      </c>
      <c r="L374" s="93"/>
      <c r="M374" s="111">
        <f>F374*'GWPs &amp; Fuel EFs'!$M$83</f>
        <v>0</v>
      </c>
      <c r="N374" s="111">
        <f>M374*'GWPs &amp; Fuel EFs'!$E$11</f>
        <v>0</v>
      </c>
      <c r="P374" s="48" t="s">
        <v>1341</v>
      </c>
      <c r="Q374" s="245">
        <f>GIS!Z156*GIS!$C48</f>
        <v>0</v>
      </c>
    </row>
    <row r="375" spans="1:17" ht="14.5">
      <c r="A375" s="291"/>
      <c r="B375" s="296"/>
      <c r="D375" s="120"/>
      <c r="F375" s="108"/>
      <c r="G375" s="93"/>
      <c r="H375" s="115">
        <f>SUM(H371:H373)</f>
        <v>1363708940.6617115</v>
      </c>
      <c r="I375" s="93"/>
      <c r="J375" s="111"/>
      <c r="K375" s="114">
        <f>SUM(K371:K373)</f>
        <v>2593242.5466229664</v>
      </c>
      <c r="L375" s="93"/>
      <c r="M375" s="111"/>
      <c r="N375" s="114">
        <f>SUM(N371:N373)</f>
        <v>15112080.721635975</v>
      </c>
      <c r="P375" s="48" t="s">
        <v>1342</v>
      </c>
      <c r="Q375" s="245">
        <f>GIS!Z157*GIS!$C49</f>
        <v>0</v>
      </c>
    </row>
    <row r="376" spans="1:17" ht="14.5">
      <c r="A376" s="291"/>
      <c r="B376" s="291"/>
      <c r="F376" s="111"/>
      <c r="P376" s="48" t="s">
        <v>1343</v>
      </c>
      <c r="Q376" s="245">
        <f>GIS!Z158*GIS!$C50</f>
        <v>0</v>
      </c>
    </row>
    <row r="377" spans="1:17" ht="14.5">
      <c r="A377" s="291"/>
      <c r="B377" s="291"/>
      <c r="P377" s="59" t="s">
        <v>1344</v>
      </c>
      <c r="Q377" s="245">
        <f>GIS!Z159*GIS!$C51</f>
        <v>0</v>
      </c>
    </row>
    <row r="378" spans="1:17" ht="14.5">
      <c r="A378" s="291"/>
      <c r="B378" s="291"/>
      <c r="P378" s="48" t="s">
        <v>1345</v>
      </c>
      <c r="Q378" s="245">
        <f>GIS!Z160*GIS!$C52</f>
        <v>0</v>
      </c>
    </row>
    <row r="379" spans="1:17" ht="14.5">
      <c r="A379" s="291"/>
      <c r="B379" s="291"/>
      <c r="P379" s="48" t="s">
        <v>1346</v>
      </c>
      <c r="Q379" s="245">
        <f>GIS!Z161*GIS!$C53</f>
        <v>0</v>
      </c>
    </row>
    <row r="380" spans="1:17" ht="14.5">
      <c r="A380" s="291"/>
      <c r="B380" s="291"/>
      <c r="P380" s="48" t="s">
        <v>1347</v>
      </c>
      <c r="Q380" s="245">
        <f>GIS!Z162*GIS!$C54</f>
        <v>2659485.9616857916</v>
      </c>
    </row>
    <row r="382" spans="1:17">
      <c r="A382" s="241"/>
      <c r="B382" s="241"/>
      <c r="C382" s="241"/>
      <c r="D382" s="241"/>
      <c r="E382" s="241"/>
      <c r="F382" s="241"/>
      <c r="G382" s="241"/>
      <c r="H382" s="241"/>
      <c r="I382" s="241"/>
      <c r="J382" s="241"/>
      <c r="K382" s="241"/>
      <c r="L382" s="241"/>
      <c r="M382" s="241"/>
      <c r="N382" s="241"/>
      <c r="O382" s="241"/>
      <c r="P382" s="241"/>
      <c r="Q382" s="241"/>
    </row>
    <row r="383" spans="1:17" ht="13">
      <c r="O383" s="2"/>
      <c r="P383" s="246" t="s">
        <v>2717</v>
      </c>
      <c r="Q383" s="18"/>
    </row>
    <row r="384" spans="1:17" ht="13">
      <c r="A384" s="285" t="s">
        <v>2703</v>
      </c>
      <c r="B384" s="285"/>
      <c r="D384" s="105" t="s">
        <v>231</v>
      </c>
      <c r="E384" s="105"/>
      <c r="F384" s="105"/>
      <c r="G384" s="93"/>
      <c r="H384" s="105" t="s">
        <v>231</v>
      </c>
      <c r="I384" s="93"/>
      <c r="J384" s="105" t="s">
        <v>231</v>
      </c>
      <c r="K384" s="105"/>
      <c r="L384" s="93"/>
      <c r="M384" s="105" t="s">
        <v>231</v>
      </c>
      <c r="N384" s="105"/>
      <c r="O384" s="16"/>
      <c r="P384" s="870" t="s">
        <v>2702</v>
      </c>
      <c r="Q384" s="871" t="s">
        <v>1426</v>
      </c>
    </row>
    <row r="385" spans="1:17" ht="13">
      <c r="A385" s="286">
        <f>A289</f>
        <v>2019</v>
      </c>
      <c r="B385" s="286"/>
      <c r="D385" s="105" t="s">
        <v>213</v>
      </c>
      <c r="E385" s="105"/>
      <c r="F385" s="105"/>
      <c r="G385" s="93"/>
      <c r="H385" s="105" t="s">
        <v>214</v>
      </c>
      <c r="I385" s="93"/>
      <c r="J385" s="105" t="s">
        <v>215</v>
      </c>
      <c r="K385" s="105"/>
      <c r="L385" s="93"/>
      <c r="M385" s="105" t="s">
        <v>216</v>
      </c>
      <c r="N385" s="105"/>
      <c r="O385" s="16"/>
      <c r="P385" s="870"/>
      <c r="Q385" s="871" t="s">
        <v>1362</v>
      </c>
    </row>
    <row r="386" spans="1:17" ht="35.5">
      <c r="A386" s="287"/>
      <c r="B386" s="288" t="s">
        <v>341</v>
      </c>
      <c r="C386" s="13"/>
      <c r="D386" s="107" t="s">
        <v>217</v>
      </c>
      <c r="E386" s="107" t="s">
        <v>218</v>
      </c>
      <c r="F386" s="107" t="str">
        <f>F314</f>
        <v>Heat Input from GIS certificates (MMBtu)</v>
      </c>
      <c r="G386" s="93"/>
      <c r="H386" s="92" t="s">
        <v>339</v>
      </c>
      <c r="I386" s="106"/>
      <c r="J386" s="90" t="s">
        <v>340</v>
      </c>
      <c r="K386" s="91" t="s">
        <v>341</v>
      </c>
      <c r="L386" s="106"/>
      <c r="M386" s="90" t="s">
        <v>342</v>
      </c>
      <c r="N386" s="91" t="s">
        <v>341</v>
      </c>
      <c r="P386" s="187" t="s">
        <v>2423</v>
      </c>
      <c r="Q386" s="245">
        <f>GIS!AC169*GIS!$C36</f>
        <v>0</v>
      </c>
    </row>
    <row r="387" spans="1:17" ht="14.5">
      <c r="A387" s="289" t="s">
        <v>220</v>
      </c>
      <c r="B387" s="290">
        <f>SUM(B388:B392)</f>
        <v>1525525.7887530189</v>
      </c>
      <c r="D387" s="90" t="s">
        <v>221</v>
      </c>
      <c r="E387" s="90"/>
      <c r="F387" s="90"/>
      <c r="G387" s="93"/>
      <c r="H387" s="93"/>
      <c r="I387" s="93"/>
      <c r="J387" s="106"/>
      <c r="K387" s="106"/>
      <c r="L387" s="93"/>
      <c r="M387" s="106"/>
      <c r="N387" s="106"/>
      <c r="P387" s="48" t="s">
        <v>1330</v>
      </c>
      <c r="Q387" s="245">
        <f>GIS!AC170*GIS!$C37</f>
        <v>0</v>
      </c>
    </row>
    <row r="388" spans="1:17" ht="14.5">
      <c r="A388" s="291" t="s">
        <v>1471</v>
      </c>
      <c r="B388" s="292">
        <f>H391</f>
        <v>0</v>
      </c>
      <c r="D388" s="109" t="s">
        <v>2686</v>
      </c>
      <c r="E388" s="134" t="s">
        <v>48</v>
      </c>
      <c r="F388" s="135">
        <f>Q389+Q400</f>
        <v>0</v>
      </c>
      <c r="G388" s="93"/>
      <c r="H388" s="111">
        <f>F388*'GWPs &amp; Fuel EFs'!$N$7</f>
        <v>0</v>
      </c>
      <c r="I388" s="93"/>
      <c r="J388" s="111">
        <f>F388*'GWPs &amp; Fuel EFs'!$M$35</f>
        <v>0</v>
      </c>
      <c r="K388" s="111">
        <f>J388*'GWPs &amp; Fuel EFs'!$D$11</f>
        <v>0</v>
      </c>
      <c r="L388" s="93"/>
      <c r="M388" s="111">
        <f>F388*'GWPs &amp; Fuel EFs'!$M$63</f>
        <v>0</v>
      </c>
      <c r="N388" s="111">
        <f>M388*'GWPs &amp; Fuel EFs'!$E$11</f>
        <v>0</v>
      </c>
      <c r="O388" s="13"/>
      <c r="P388" s="48" t="s">
        <v>1331</v>
      </c>
      <c r="Q388" s="245">
        <f>GIS!AC171*GIS!$C38</f>
        <v>0</v>
      </c>
    </row>
    <row r="389" spans="1:17" ht="14.5">
      <c r="A389" s="291" t="s">
        <v>222</v>
      </c>
      <c r="B389" s="292">
        <f>K391</f>
        <v>0</v>
      </c>
      <c r="D389" s="109" t="s">
        <v>388</v>
      </c>
      <c r="E389" s="134" t="s">
        <v>41</v>
      </c>
      <c r="F389" s="135">
        <f>Q398</f>
        <v>0</v>
      </c>
      <c r="G389" s="93"/>
      <c r="H389" s="111">
        <f>F389*'GWPs &amp; Fuel EFs'!$N$8</f>
        <v>0</v>
      </c>
      <c r="I389" s="93"/>
      <c r="J389" s="111">
        <f>F389*'GWPs &amp; Fuel EFs'!$M$36</f>
        <v>0</v>
      </c>
      <c r="K389" s="111">
        <f>J389*'GWPs &amp; Fuel EFs'!$D$11</f>
        <v>0</v>
      </c>
      <c r="L389" s="93"/>
      <c r="M389" s="111">
        <f>F389*'GWPs &amp; Fuel EFs'!$M$64</f>
        <v>0</v>
      </c>
      <c r="N389" s="111">
        <f>M389*'GWPs &amp; Fuel EFs'!$E$11</f>
        <v>0</v>
      </c>
      <c r="P389" s="48" t="s">
        <v>1332</v>
      </c>
      <c r="Q389" s="245">
        <f>GIS!AC172*GIS!$C39</f>
        <v>0</v>
      </c>
    </row>
    <row r="390" spans="1:17" ht="14.5">
      <c r="A390" s="291" t="s">
        <v>223</v>
      </c>
      <c r="B390" s="292">
        <f>N391</f>
        <v>0</v>
      </c>
      <c r="D390" s="109" t="s">
        <v>402</v>
      </c>
      <c r="E390" s="134" t="s">
        <v>19</v>
      </c>
      <c r="F390" s="135">
        <f>(Q397+Q402)*'GIS Heat Input'!F66</f>
        <v>0</v>
      </c>
      <c r="G390" s="93"/>
      <c r="H390" s="111">
        <f>F390*'GWPs &amp; Fuel EFs'!$N$9</f>
        <v>0</v>
      </c>
      <c r="I390" s="93"/>
      <c r="J390" s="111">
        <f>F390*'GWPs &amp; Fuel EFs'!$M$37</f>
        <v>0</v>
      </c>
      <c r="K390" s="111">
        <f>J390*'GWPs &amp; Fuel EFs'!$D$11</f>
        <v>0</v>
      </c>
      <c r="L390" s="93"/>
      <c r="M390" s="111">
        <f>F390*'GWPs &amp; Fuel EFs'!$M$65</f>
        <v>0</v>
      </c>
      <c r="N390" s="111">
        <f>M390*'GWPs &amp; Fuel EFs'!$E$11</f>
        <v>0</v>
      </c>
      <c r="P390" s="48" t="s">
        <v>1333</v>
      </c>
      <c r="Q390" s="245">
        <f>GIS!AC173*GIS!$C40</f>
        <v>0</v>
      </c>
    </row>
    <row r="391" spans="1:17" ht="14.5">
      <c r="A391" s="291" t="s">
        <v>224</v>
      </c>
      <c r="B391" s="292">
        <f>K399</f>
        <v>455823.04885426728</v>
      </c>
      <c r="D391" s="109"/>
      <c r="E391" s="113"/>
      <c r="F391" s="108"/>
      <c r="G391" s="93"/>
      <c r="H391" s="114">
        <f>SUM(H388:H390)</f>
        <v>0</v>
      </c>
      <c r="I391" s="93"/>
      <c r="J391" s="111"/>
      <c r="K391" s="114">
        <f>SUM(K388:K390)</f>
        <v>0</v>
      </c>
      <c r="L391" s="93"/>
      <c r="M391" s="111"/>
      <c r="N391" s="114">
        <f>SUM(N388:N390)</f>
        <v>0</v>
      </c>
      <c r="P391" s="48" t="s">
        <v>1334</v>
      </c>
      <c r="Q391" s="245">
        <f>GIS!AC174*GIS!$C41</f>
        <v>0</v>
      </c>
    </row>
    <row r="392" spans="1:17" ht="14.5">
      <c r="A392" s="291" t="s">
        <v>225</v>
      </c>
      <c r="B392" s="292">
        <f>N399</f>
        <v>1069702.7398987517</v>
      </c>
      <c r="E392" s="93"/>
      <c r="P392" s="48" t="s">
        <v>1335</v>
      </c>
      <c r="Q392" s="245">
        <f>GIS!AC175*GIS!$C42</f>
        <v>0</v>
      </c>
    </row>
    <row r="393" spans="1:17" ht="14.5">
      <c r="A393" s="291"/>
      <c r="B393" s="291"/>
      <c r="P393" s="53" t="s">
        <v>1336</v>
      </c>
      <c r="Q393" s="245">
        <f>GIS!AC176*GIS!$C43</f>
        <v>0</v>
      </c>
    </row>
    <row r="394" spans="1:17" ht="14.5">
      <c r="A394" s="293" t="s">
        <v>226</v>
      </c>
      <c r="B394" s="290">
        <f>H399</f>
        <v>296683826.9230212</v>
      </c>
      <c r="D394" s="90" t="s">
        <v>227</v>
      </c>
      <c r="E394" s="93"/>
      <c r="F394" s="108"/>
      <c r="G394" s="93"/>
      <c r="H394" s="114"/>
      <c r="I394" s="93"/>
      <c r="J394" s="111"/>
      <c r="K394" s="114"/>
      <c r="L394" s="93"/>
      <c r="M394" s="111"/>
      <c r="N394" s="114"/>
      <c r="P394" s="53" t="s">
        <v>1337</v>
      </c>
      <c r="Q394" s="245">
        <f>GIS!AC177*GIS!$C44</f>
        <v>0</v>
      </c>
    </row>
    <row r="395" spans="1:17" ht="14.5">
      <c r="A395" s="291"/>
      <c r="B395" s="294"/>
      <c r="D395" s="112" t="s">
        <v>396</v>
      </c>
      <c r="E395" s="134" t="s">
        <v>65</v>
      </c>
      <c r="F395" s="135">
        <f>Q396</f>
        <v>2584473.2150477259</v>
      </c>
      <c r="G395" s="93"/>
      <c r="H395" s="111">
        <f>F395*'GWPs &amp; Fuel EFs'!$N$20</f>
        <v>296683826.9230212</v>
      </c>
      <c r="I395" s="93"/>
      <c r="J395" s="111">
        <f>F395*'GWPs &amp; Fuel EFs'!$M$48</f>
        <v>18232.921954170692</v>
      </c>
      <c r="K395" s="111">
        <f>J395*'GWPs &amp; Fuel EFs'!$D$11</f>
        <v>455823.04885426728</v>
      </c>
      <c r="L395" s="93"/>
      <c r="M395" s="111">
        <f>F395*'GWPs &amp; Fuel EFs'!$M$76</f>
        <v>3589.6065097273545</v>
      </c>
      <c r="N395" s="111">
        <f>M395*'GWPs &amp; Fuel EFs'!$E$11</f>
        <v>1069702.7398987517</v>
      </c>
      <c r="P395" s="48" t="s">
        <v>1338</v>
      </c>
      <c r="Q395" s="245">
        <f>GIS!AC178*GIS!$C45</f>
        <v>0</v>
      </c>
    </row>
    <row r="396" spans="1:17" ht="14.5">
      <c r="A396" s="291"/>
      <c r="B396" s="291"/>
      <c r="D396" s="112" t="s">
        <v>399</v>
      </c>
      <c r="E396" s="134" t="s">
        <v>18</v>
      </c>
      <c r="F396" s="135">
        <f>(Q397+Q402)*'GIS Heat Input'!F69</f>
        <v>0</v>
      </c>
      <c r="G396" s="93"/>
      <c r="H396" s="111">
        <f>F396*'GWPs &amp; Fuel EFs'!$N$21</f>
        <v>0</v>
      </c>
      <c r="I396" s="93"/>
      <c r="J396" s="111">
        <f>F396*'GWPs &amp; Fuel EFs'!$M$49</f>
        <v>0</v>
      </c>
      <c r="K396" s="111">
        <f>J396*'GWPs &amp; Fuel EFs'!$D$11</f>
        <v>0</v>
      </c>
      <c r="L396" s="93"/>
      <c r="M396" s="111">
        <f>F396*'GWPs &amp; Fuel EFs'!$M$77</f>
        <v>0</v>
      </c>
      <c r="N396" s="111">
        <f>M396*'GWPs &amp; Fuel EFs'!$E$11</f>
        <v>0</v>
      </c>
      <c r="P396" s="48" t="s">
        <v>1339</v>
      </c>
      <c r="Q396" s="245">
        <f>GIS!AC179*GIS!$C46</f>
        <v>2584473.2150477259</v>
      </c>
    </row>
    <row r="397" spans="1:17" ht="14.5">
      <c r="A397" s="291"/>
      <c r="B397" s="291"/>
      <c r="D397" s="112" t="s">
        <v>404</v>
      </c>
      <c r="E397" s="134" t="s">
        <v>71</v>
      </c>
      <c r="F397" s="135">
        <f>Q387+Q404</f>
        <v>0</v>
      </c>
      <c r="G397" s="93"/>
      <c r="H397" s="111">
        <f>F397*'GWPs &amp; Fuel EFs'!$N$23</f>
        <v>0</v>
      </c>
      <c r="I397" s="93"/>
      <c r="J397" s="111">
        <f>F397*'GWPs &amp; Fuel EFs'!$M$51</f>
        <v>0</v>
      </c>
      <c r="K397" s="111">
        <f>J397*'GWPs &amp; Fuel EFs'!$D$11</f>
        <v>0</v>
      </c>
      <c r="L397" s="93"/>
      <c r="M397" s="111">
        <f>F397*'GWPs &amp; Fuel EFs'!$M$79</f>
        <v>0</v>
      </c>
      <c r="N397" s="111">
        <f>M397*'GWPs &amp; Fuel EFs'!$E$11</f>
        <v>0</v>
      </c>
      <c r="P397" s="48" t="s">
        <v>1340</v>
      </c>
      <c r="Q397" s="245">
        <f>GIS!AC180*GIS!$C47</f>
        <v>0</v>
      </c>
    </row>
    <row r="398" spans="1:17" ht="14.5">
      <c r="A398" s="291"/>
      <c r="B398" s="291"/>
      <c r="C398" s="16"/>
      <c r="D398" s="120" t="s">
        <v>2425</v>
      </c>
      <c r="E398" s="134" t="s">
        <v>70</v>
      </c>
      <c r="F398" s="135">
        <f>Q386+Q390</f>
        <v>0</v>
      </c>
      <c r="G398" s="93"/>
      <c r="H398" s="111">
        <f>F398*'GWPs &amp; Fuel EFs'!$N$27</f>
        <v>0</v>
      </c>
      <c r="I398" s="93"/>
      <c r="J398" s="111">
        <f>F398*'GWPs &amp; Fuel EFs'!$M$55</f>
        <v>0</v>
      </c>
      <c r="K398" s="111">
        <f>J398*'GWPs &amp; Fuel EFs'!$D$11</f>
        <v>0</v>
      </c>
      <c r="L398" s="93"/>
      <c r="M398" s="111">
        <f>F398*'GWPs &amp; Fuel EFs'!$M$83</f>
        <v>0</v>
      </c>
      <c r="N398" s="111">
        <f>M398*'GWPs &amp; Fuel EFs'!$E$11</f>
        <v>0</v>
      </c>
      <c r="P398" s="48" t="s">
        <v>1341</v>
      </c>
      <c r="Q398" s="245">
        <f>GIS!AC181*GIS!$C48</f>
        <v>0</v>
      </c>
    </row>
    <row r="399" spans="1:17" ht="14.5">
      <c r="A399" s="291"/>
      <c r="B399" s="294"/>
      <c r="D399" s="93"/>
      <c r="E399" s="93"/>
      <c r="F399" s="108"/>
      <c r="G399" s="93"/>
      <c r="H399" s="115">
        <f>SUM(H395:H398)</f>
        <v>296683826.9230212</v>
      </c>
      <c r="I399" s="93"/>
      <c r="J399" s="93"/>
      <c r="K399" s="114">
        <f>SUM(K395:K398)</f>
        <v>455823.04885426728</v>
      </c>
      <c r="L399" s="93"/>
      <c r="M399" s="93"/>
      <c r="N399" s="114">
        <f>SUM(N395:N398)</f>
        <v>1069702.7398987517</v>
      </c>
      <c r="P399" s="48" t="s">
        <v>1342</v>
      </c>
      <c r="Q399" s="245">
        <f>GIS!AC182*GIS!$C49</f>
        <v>0</v>
      </c>
    </row>
    <row r="400" spans="1:17" ht="14.5">
      <c r="A400" s="291"/>
      <c r="B400" s="291"/>
      <c r="O400" s="16"/>
      <c r="P400" s="48" t="s">
        <v>1343</v>
      </c>
      <c r="Q400" s="245">
        <f>GIS!AC183*GIS!$C50</f>
        <v>0</v>
      </c>
    </row>
    <row r="401" spans="1:17" ht="14.5">
      <c r="A401" s="291"/>
      <c r="B401" s="291"/>
      <c r="P401" s="59" t="s">
        <v>1344</v>
      </c>
      <c r="Q401" s="245">
        <f>GIS!AC184*GIS!$C51</f>
        <v>0</v>
      </c>
    </row>
    <row r="402" spans="1:17" ht="14.5">
      <c r="A402" s="291"/>
      <c r="B402" s="291"/>
      <c r="D402" s="16"/>
      <c r="E402" s="16"/>
      <c r="F402" s="16"/>
      <c r="G402" s="16"/>
      <c r="H402" s="16"/>
      <c r="I402" s="16"/>
      <c r="J402" s="16"/>
      <c r="K402" s="16"/>
      <c r="L402" s="16"/>
      <c r="M402" s="16"/>
      <c r="N402" s="16"/>
      <c r="P402" s="48" t="s">
        <v>1345</v>
      </c>
      <c r="Q402" s="245">
        <f>GIS!AC185*GIS!$C52</f>
        <v>0</v>
      </c>
    </row>
    <row r="403" spans="1:17" ht="14.5">
      <c r="A403" s="291"/>
      <c r="B403" s="291"/>
      <c r="D403" s="119"/>
      <c r="E403" s="119"/>
      <c r="F403" s="119"/>
      <c r="G403" s="119"/>
      <c r="H403" s="119"/>
      <c r="I403" s="119"/>
      <c r="J403" s="119"/>
      <c r="K403" s="119"/>
      <c r="L403" s="119"/>
      <c r="M403" s="119"/>
      <c r="N403" s="119"/>
      <c r="P403" s="48" t="s">
        <v>1346</v>
      </c>
      <c r="Q403" s="245">
        <f>GIS!AC186*GIS!$C53</f>
        <v>0</v>
      </c>
    </row>
    <row r="404" spans="1:17" ht="14.5">
      <c r="A404" s="291"/>
      <c r="B404" s="291"/>
      <c r="P404" s="48" t="s">
        <v>1347</v>
      </c>
      <c r="Q404" s="245">
        <f>GIS!AC187*GIS!$C54</f>
        <v>0</v>
      </c>
    </row>
    <row r="406" spans="1:17">
      <c r="A406" s="241"/>
      <c r="B406" s="241"/>
      <c r="C406" s="241"/>
      <c r="D406" s="241"/>
      <c r="E406" s="241"/>
      <c r="F406" s="241"/>
      <c r="G406" s="241"/>
      <c r="H406" s="241"/>
      <c r="I406" s="241"/>
      <c r="J406" s="241"/>
      <c r="K406" s="241"/>
      <c r="L406" s="241"/>
      <c r="M406" s="241"/>
      <c r="N406" s="241"/>
      <c r="O406" s="241"/>
      <c r="P406" s="241"/>
      <c r="Q406" s="241"/>
    </row>
    <row r="407" spans="1:17" ht="13">
      <c r="P407" s="246" t="s">
        <v>2722</v>
      </c>
      <c r="Q407" s="18"/>
    </row>
    <row r="408" spans="1:17" ht="13">
      <c r="A408" s="285" t="s">
        <v>2704</v>
      </c>
      <c r="B408" s="285"/>
      <c r="D408" s="105" t="s">
        <v>230</v>
      </c>
      <c r="E408" s="105"/>
      <c r="F408" s="105"/>
      <c r="G408" s="93"/>
      <c r="H408" s="105" t="s">
        <v>230</v>
      </c>
      <c r="I408" s="93"/>
      <c r="J408" s="105" t="s">
        <v>230</v>
      </c>
      <c r="K408" s="105"/>
      <c r="L408" s="93"/>
      <c r="M408" s="105" t="s">
        <v>230</v>
      </c>
      <c r="N408" s="105"/>
      <c r="P408" s="870" t="s">
        <v>2702</v>
      </c>
      <c r="Q408" s="871" t="s">
        <v>1438</v>
      </c>
    </row>
    <row r="409" spans="1:17" ht="13">
      <c r="A409" s="286">
        <f>A313</f>
        <v>2019</v>
      </c>
      <c r="B409" s="286"/>
      <c r="C409" s="18"/>
      <c r="D409" s="105" t="s">
        <v>213</v>
      </c>
      <c r="E409" s="105"/>
      <c r="F409" s="105"/>
      <c r="G409" s="93"/>
      <c r="H409" s="105" t="s">
        <v>214</v>
      </c>
      <c r="I409" s="93"/>
      <c r="J409" s="105" t="s">
        <v>215</v>
      </c>
      <c r="K409" s="105"/>
      <c r="L409" s="93"/>
      <c r="M409" s="105" t="s">
        <v>216</v>
      </c>
      <c r="N409" s="105"/>
      <c r="P409" s="870"/>
      <c r="Q409" s="871" t="s">
        <v>1362</v>
      </c>
    </row>
    <row r="410" spans="1:17" ht="35.5">
      <c r="A410" s="287"/>
      <c r="B410" s="288" t="s">
        <v>341</v>
      </c>
      <c r="C410" s="13"/>
      <c r="D410" s="107" t="s">
        <v>217</v>
      </c>
      <c r="E410" s="107" t="s">
        <v>218</v>
      </c>
      <c r="F410" s="107" t="str">
        <f>F314</f>
        <v>Heat Input from GIS certificates (MMBtu)</v>
      </c>
      <c r="G410" s="93"/>
      <c r="H410" s="92" t="s">
        <v>339</v>
      </c>
      <c r="I410" s="106"/>
      <c r="J410" s="90" t="s">
        <v>340</v>
      </c>
      <c r="K410" s="91" t="s">
        <v>341</v>
      </c>
      <c r="L410" s="106"/>
      <c r="M410" s="90" t="s">
        <v>342</v>
      </c>
      <c r="N410" s="91" t="s">
        <v>341</v>
      </c>
      <c r="P410" s="187" t="s">
        <v>2423</v>
      </c>
      <c r="Q410" s="245">
        <f>GIS!AF194*GIS!$C36</f>
        <v>0</v>
      </c>
    </row>
    <row r="411" spans="1:17" ht="14.5">
      <c r="A411" s="289" t="s">
        <v>220</v>
      </c>
      <c r="B411" s="290">
        <f>SUM(B412:B416)+F415+F416</f>
        <v>72619.668640271135</v>
      </c>
      <c r="C411" s="18"/>
      <c r="D411" s="90" t="s">
        <v>221</v>
      </c>
      <c r="E411" s="90"/>
      <c r="F411" s="90"/>
      <c r="G411" s="93"/>
      <c r="H411" s="93"/>
      <c r="I411" s="93"/>
      <c r="J411" s="106"/>
      <c r="K411" s="106"/>
      <c r="L411" s="93"/>
      <c r="M411" s="106"/>
      <c r="N411" s="106"/>
      <c r="P411" s="48" t="s">
        <v>1330</v>
      </c>
      <c r="Q411" s="245">
        <f>GIS!AF195*GIS!$C37</f>
        <v>0</v>
      </c>
    </row>
    <row r="412" spans="1:17" ht="14.5">
      <c r="A412" s="291" t="s">
        <v>1471</v>
      </c>
      <c r="B412" s="292">
        <f>H416</f>
        <v>0</v>
      </c>
      <c r="C412" s="18"/>
      <c r="D412" s="109" t="s">
        <v>2686</v>
      </c>
      <c r="E412" s="134" t="s">
        <v>48</v>
      </c>
      <c r="F412" s="135">
        <f>Q413+Q424</f>
        <v>0</v>
      </c>
      <c r="G412" s="93"/>
      <c r="H412" s="111">
        <f>F412*'GWPs &amp; Fuel EFs'!$N$7</f>
        <v>0</v>
      </c>
      <c r="I412" s="93"/>
      <c r="J412" s="111">
        <f>F412*'GWPs &amp; Fuel EFs'!$M$35</f>
        <v>0</v>
      </c>
      <c r="K412" s="111">
        <f>J412*'GWPs &amp; Fuel EFs'!$D$11</f>
        <v>0</v>
      </c>
      <c r="L412" s="93"/>
      <c r="M412" s="111">
        <f>F412*'GWPs &amp; Fuel EFs'!$M$63</f>
        <v>0</v>
      </c>
      <c r="N412" s="111">
        <f>M412*'GWPs &amp; Fuel EFs'!$E$11</f>
        <v>0</v>
      </c>
      <c r="P412" s="48" t="s">
        <v>1331</v>
      </c>
      <c r="Q412" s="245">
        <f>GIS!AF196*GIS!$C38</f>
        <v>0</v>
      </c>
    </row>
    <row r="413" spans="1:17" ht="14.5">
      <c r="A413" s="291" t="s">
        <v>222</v>
      </c>
      <c r="B413" s="292">
        <f>K416</f>
        <v>0</v>
      </c>
      <c r="C413" s="18"/>
      <c r="D413" s="109" t="s">
        <v>388</v>
      </c>
      <c r="E413" s="134" t="s">
        <v>41</v>
      </c>
      <c r="F413" s="135">
        <f>Q422</f>
        <v>0</v>
      </c>
      <c r="G413" s="93"/>
      <c r="H413" s="111">
        <f>F413*'GWPs &amp; Fuel EFs'!$N$8</f>
        <v>0</v>
      </c>
      <c r="I413" s="93"/>
      <c r="J413" s="111">
        <f>F413*'GWPs &amp; Fuel EFs'!$M$36</f>
        <v>0</v>
      </c>
      <c r="K413" s="111">
        <f>J413*'GWPs &amp; Fuel EFs'!$D$11</f>
        <v>0</v>
      </c>
      <c r="L413" s="93"/>
      <c r="M413" s="111">
        <f>F413*'GWPs &amp; Fuel EFs'!$M$64</f>
        <v>0</v>
      </c>
      <c r="N413" s="111">
        <f>M413*'GWPs &amp; Fuel EFs'!$E$11</f>
        <v>0</v>
      </c>
      <c r="P413" s="48" t="s">
        <v>1332</v>
      </c>
      <c r="Q413" s="245">
        <f>GIS!AF197*GIS!$C39</f>
        <v>0</v>
      </c>
    </row>
    <row r="414" spans="1:17" ht="14.5">
      <c r="A414" s="291" t="s">
        <v>223</v>
      </c>
      <c r="B414" s="292">
        <f>N416</f>
        <v>0</v>
      </c>
      <c r="C414" s="18"/>
      <c r="D414" s="109" t="s">
        <v>402</v>
      </c>
      <c r="E414" s="134" t="s">
        <v>19</v>
      </c>
      <c r="F414" s="135">
        <f>(Q421+Q426)*'GIS Heat Input'!F78</f>
        <v>0</v>
      </c>
      <c r="G414" s="93"/>
      <c r="H414" s="111">
        <f>F414*'GWPs &amp; Fuel EFs'!$N$9</f>
        <v>0</v>
      </c>
      <c r="I414" s="93"/>
      <c r="J414" s="111">
        <f>F414*'GWPs &amp; Fuel EFs'!$M$37</f>
        <v>0</v>
      </c>
      <c r="K414" s="111">
        <f>J414*'GWPs &amp; Fuel EFs'!$D$11</f>
        <v>0</v>
      </c>
      <c r="L414" s="93"/>
      <c r="M414" s="111">
        <f>F414*'GWPs &amp; Fuel EFs'!$M$65</f>
        <v>0</v>
      </c>
      <c r="N414" s="111">
        <f>M414*'GWPs &amp; Fuel EFs'!$E$11</f>
        <v>0</v>
      </c>
      <c r="P414" s="48" t="s">
        <v>1333</v>
      </c>
      <c r="Q414" s="245">
        <f>GIS!AF198*GIS!$C40</f>
        <v>89386.358506457036</v>
      </c>
    </row>
    <row r="415" spans="1:17" ht="14.5">
      <c r="A415" s="291" t="s">
        <v>224</v>
      </c>
      <c r="B415" s="292">
        <f>K423</f>
        <v>21698.563872494549</v>
      </c>
      <c r="C415" s="18"/>
      <c r="D415" s="109"/>
      <c r="E415" s="113"/>
      <c r="F415" s="108"/>
      <c r="G415" s="93"/>
      <c r="H415" s="114">
        <f>SUM(H412:H414)</f>
        <v>0</v>
      </c>
      <c r="I415" s="93"/>
      <c r="J415" s="111"/>
      <c r="K415" s="114">
        <f>SUM(K411:K414)</f>
        <v>0</v>
      </c>
      <c r="L415" s="93"/>
      <c r="M415" s="111"/>
      <c r="N415" s="114">
        <f>SUM(N411:N414)</f>
        <v>0</v>
      </c>
      <c r="P415" s="48" t="s">
        <v>1334</v>
      </c>
      <c r="Q415" s="245">
        <f>GIS!AF199*GIS!$C41</f>
        <v>0</v>
      </c>
    </row>
    <row r="416" spans="1:17" ht="14.5">
      <c r="A416" s="291" t="s">
        <v>225</v>
      </c>
      <c r="B416" s="292">
        <f>N423</f>
        <v>50921.104767776582</v>
      </c>
      <c r="C416" s="18"/>
      <c r="E416" s="93"/>
      <c r="G416" s="93"/>
      <c r="H416" s="114"/>
      <c r="I416" s="93"/>
      <c r="J416" s="111"/>
      <c r="K416" s="114"/>
      <c r="L416" s="93"/>
      <c r="M416" s="111"/>
      <c r="N416" s="114"/>
      <c r="P416" s="48" t="s">
        <v>1335</v>
      </c>
      <c r="Q416" s="245">
        <f>GIS!AF200*GIS!$C42</f>
        <v>0</v>
      </c>
    </row>
    <row r="417" spans="1:17" ht="14.5">
      <c r="A417" s="291"/>
      <c r="B417" s="291"/>
      <c r="C417" s="18"/>
      <c r="P417" s="53" t="s">
        <v>1336</v>
      </c>
      <c r="Q417" s="245">
        <f>GIS!AF201*GIS!$C43</f>
        <v>0</v>
      </c>
    </row>
    <row r="418" spans="1:17" ht="14.5">
      <c r="A418" s="293" t="s">
        <v>226</v>
      </c>
      <c r="B418" s="290">
        <f>H423</f>
        <v>14123052.76050989</v>
      </c>
      <c r="C418" s="18"/>
      <c r="D418" s="90" t="s">
        <v>227</v>
      </c>
      <c r="E418" s="93"/>
      <c r="F418" s="108"/>
      <c r="G418" s="93"/>
      <c r="H418" s="114"/>
      <c r="I418" s="93"/>
      <c r="J418" s="111"/>
      <c r="K418" s="114"/>
      <c r="L418" s="93"/>
      <c r="M418" s="111"/>
      <c r="N418" s="114"/>
      <c r="P418" s="53" t="s">
        <v>1337</v>
      </c>
      <c r="Q418" s="245">
        <f>GIS!AF202*GIS!$C44</f>
        <v>0</v>
      </c>
    </row>
    <row r="419" spans="1:17" ht="14.5">
      <c r="A419" s="291"/>
      <c r="B419" s="294"/>
      <c r="C419" s="18"/>
      <c r="D419" s="112" t="s">
        <v>396</v>
      </c>
      <c r="E419" s="134" t="s">
        <v>65</v>
      </c>
      <c r="F419" s="135">
        <f>Q420</f>
        <v>33642.429253228518</v>
      </c>
      <c r="G419" s="93"/>
      <c r="H419" s="111">
        <f>F419*'GWPs &amp; Fuel EFs'!$N$20</f>
        <v>3861972.5674543385</v>
      </c>
      <c r="I419" s="93"/>
      <c r="J419" s="111">
        <f>F419*'GWPs &amp; Fuel EFs'!$M$48</f>
        <v>237.34035367493536</v>
      </c>
      <c r="K419" s="111">
        <f>J419*'GWPs &amp; Fuel EFs'!$D$11</f>
        <v>5933.508841873384</v>
      </c>
      <c r="L419" s="93"/>
      <c r="M419" s="111">
        <f>F419*'GWPs &amp; Fuel EFs'!$M$76</f>
        <v>46.726382129752892</v>
      </c>
      <c r="N419" s="111">
        <f>M419*'GWPs &amp; Fuel EFs'!$E$11</f>
        <v>13924.461874666362</v>
      </c>
      <c r="P419" s="48" t="s">
        <v>1338</v>
      </c>
      <c r="Q419" s="245">
        <f>GIS!AF203*GIS!$C45</f>
        <v>0</v>
      </c>
    </row>
    <row r="420" spans="1:17" ht="14.5">
      <c r="A420" s="291"/>
      <c r="B420" s="291"/>
      <c r="C420" s="18"/>
      <c r="D420" s="112" t="s">
        <v>399</v>
      </c>
      <c r="E420" s="134" t="s">
        <v>18</v>
      </c>
      <c r="F420" s="135">
        <f>(Q421+Q426)*'GIS Heat Input'!F81</f>
        <v>0</v>
      </c>
      <c r="G420" s="93"/>
      <c r="H420" s="111">
        <f>F420*'GWPs &amp; Fuel EFs'!$N$21</f>
        <v>0</v>
      </c>
      <c r="I420" s="93"/>
      <c r="J420" s="111">
        <f>F420*'GWPs &amp; Fuel EFs'!$M$49</f>
        <v>0</v>
      </c>
      <c r="K420" s="111">
        <f>J420*'GWPs &amp; Fuel EFs'!$D$11</f>
        <v>0</v>
      </c>
      <c r="L420" s="93"/>
      <c r="M420" s="111">
        <f>F420*'GWPs &amp; Fuel EFs'!$M$77</f>
        <v>0</v>
      </c>
      <c r="N420" s="111">
        <f>M420*'GWPs &amp; Fuel EFs'!$E$11</f>
        <v>0</v>
      </c>
      <c r="P420" s="48" t="s">
        <v>1339</v>
      </c>
      <c r="Q420" s="245">
        <f>GIS!AF204*GIS!$C46</f>
        <v>33642.429253228518</v>
      </c>
    </row>
    <row r="421" spans="1:17" ht="14.5">
      <c r="A421" s="291"/>
      <c r="B421" s="291"/>
      <c r="C421" s="18"/>
      <c r="D421" s="112" t="s">
        <v>404</v>
      </c>
      <c r="E421" s="134" t="s">
        <v>71</v>
      </c>
      <c r="F421" s="135">
        <f>Q411+Q428</f>
        <v>0</v>
      </c>
      <c r="G421" s="93"/>
      <c r="H421" s="111">
        <f>F421*'GWPs &amp; Fuel EFs'!$N$23</f>
        <v>0</v>
      </c>
      <c r="I421" s="93"/>
      <c r="J421" s="111">
        <f>F421*'GWPs &amp; Fuel EFs'!$M$51</f>
        <v>0</v>
      </c>
      <c r="K421" s="111">
        <f>J421*'GWPs &amp; Fuel EFs'!$D$11</f>
        <v>0</v>
      </c>
      <c r="L421" s="93"/>
      <c r="M421" s="111">
        <f>F421*'GWPs &amp; Fuel EFs'!$M$79</f>
        <v>0</v>
      </c>
      <c r="N421" s="111">
        <f>M421*'GWPs &amp; Fuel EFs'!$E$11</f>
        <v>0</v>
      </c>
      <c r="P421" s="48" t="s">
        <v>1340</v>
      </c>
      <c r="Q421" s="245">
        <f>GIS!AF205*GIS!$C47</f>
        <v>0</v>
      </c>
    </row>
    <row r="422" spans="1:17" ht="14.5">
      <c r="A422" s="291"/>
      <c r="B422" s="292"/>
      <c r="C422" s="18"/>
      <c r="D422" s="120" t="s">
        <v>2425</v>
      </c>
      <c r="E422" s="134" t="s">
        <v>70</v>
      </c>
      <c r="F422" s="135">
        <f>Q410+Q414</f>
        <v>89386.358506457036</v>
      </c>
      <c r="G422" s="93"/>
      <c r="H422" s="111">
        <f>F422*'GWPs &amp; Fuel EFs'!$N$27</f>
        <v>10261080.193055551</v>
      </c>
      <c r="I422" s="93"/>
      <c r="J422" s="111">
        <f>F422*'GWPs &amp; Fuel EFs'!$M$55</f>
        <v>630.60220122484668</v>
      </c>
      <c r="K422" s="111">
        <f>J422*'GWPs &amp; Fuel EFs'!$D$11</f>
        <v>15765.055030621166</v>
      </c>
      <c r="L422" s="93"/>
      <c r="M422" s="111">
        <f>F422*'GWPs &amp; Fuel EFs'!$M$83</f>
        <v>124.14980836614168</v>
      </c>
      <c r="N422" s="111">
        <f>M422*'GWPs &amp; Fuel EFs'!$E$11</f>
        <v>36996.64289311022</v>
      </c>
      <c r="O422" s="13"/>
      <c r="P422" s="48" t="s">
        <v>1341</v>
      </c>
      <c r="Q422" s="245">
        <f>GIS!AF206*GIS!$C48</f>
        <v>0</v>
      </c>
    </row>
    <row r="423" spans="1:17" ht="14.5">
      <c r="A423" s="291"/>
      <c r="B423" s="292"/>
      <c r="C423" s="18"/>
      <c r="D423" s="112"/>
      <c r="E423" s="113"/>
      <c r="F423" s="111"/>
      <c r="G423" s="93"/>
      <c r="H423" s="115">
        <f>SUM(H419:H422)</f>
        <v>14123052.76050989</v>
      </c>
      <c r="I423" s="93"/>
      <c r="J423" s="111"/>
      <c r="K423" s="114">
        <f>SUM(K419:K422)</f>
        <v>21698.563872494549</v>
      </c>
      <c r="L423" s="93"/>
      <c r="M423" s="111"/>
      <c r="N423" s="114">
        <f>SUM(N419:N422)</f>
        <v>50921.104767776582</v>
      </c>
      <c r="P423" s="48" t="s">
        <v>1342</v>
      </c>
      <c r="Q423" s="245">
        <f>GIS!AF207*GIS!$C49</f>
        <v>0</v>
      </c>
    </row>
    <row r="424" spans="1:17" ht="14.5">
      <c r="A424" s="291"/>
      <c r="B424" s="292"/>
      <c r="C424" s="18"/>
      <c r="D424" s="112"/>
      <c r="E424" s="113"/>
      <c r="F424" s="111"/>
      <c r="G424" s="93"/>
      <c r="H424" s="111"/>
      <c r="I424" s="93"/>
      <c r="J424" s="111"/>
      <c r="K424" s="111"/>
      <c r="L424" s="93"/>
      <c r="M424" s="111"/>
      <c r="N424" s="111"/>
      <c r="P424" s="48" t="s">
        <v>1343</v>
      </c>
      <c r="Q424" s="245">
        <f>GIS!AF208*GIS!$C50</f>
        <v>0</v>
      </c>
    </row>
    <row r="425" spans="1:17" ht="14.5">
      <c r="A425" s="291"/>
      <c r="B425" s="292"/>
      <c r="C425" s="18"/>
      <c r="D425" s="93"/>
      <c r="E425" s="93"/>
      <c r="F425" s="93"/>
      <c r="G425" s="93"/>
      <c r="P425" s="59" t="s">
        <v>1344</v>
      </c>
      <c r="Q425" s="245">
        <f>GIS!AF209*GIS!$C51</f>
        <v>0</v>
      </c>
    </row>
    <row r="426" spans="1:17" ht="14.5">
      <c r="A426" s="291"/>
      <c r="B426" s="291"/>
      <c r="P426" s="48" t="s">
        <v>1345</v>
      </c>
      <c r="Q426" s="245">
        <f>GIS!AF210*GIS!$C52</f>
        <v>0</v>
      </c>
    </row>
    <row r="427" spans="1:17" ht="14.5">
      <c r="A427" s="291"/>
      <c r="B427" s="291"/>
      <c r="P427" s="48" t="s">
        <v>1346</v>
      </c>
      <c r="Q427" s="245">
        <f>GIS!AF211*GIS!$C53</f>
        <v>0</v>
      </c>
    </row>
    <row r="428" spans="1:17" ht="14.5">
      <c r="A428" s="291"/>
      <c r="B428" s="291"/>
      <c r="C428" s="18"/>
      <c r="P428" s="48" t="s">
        <v>1347</v>
      </c>
      <c r="Q428" s="245">
        <f>GIS!AF212*GIS!$C54</f>
        <v>0</v>
      </c>
    </row>
    <row r="429" spans="1:17">
      <c r="A429" s="325"/>
      <c r="B429" s="325"/>
      <c r="C429" s="325"/>
      <c r="D429" s="325"/>
      <c r="E429" s="325"/>
      <c r="F429" s="325"/>
      <c r="G429" s="325"/>
      <c r="H429" s="325"/>
      <c r="I429" s="325"/>
      <c r="J429" s="325"/>
      <c r="K429" s="325"/>
      <c r="L429" s="325"/>
      <c r="M429" s="325"/>
      <c r="N429" s="325"/>
      <c r="O429" s="325"/>
      <c r="P429" s="325"/>
      <c r="Q429" s="325"/>
    </row>
  </sheetData>
  <mergeCells count="82">
    <mergeCell ref="Q288:Q289"/>
    <mergeCell ref="P288:P289"/>
    <mergeCell ref="Q312:Q313"/>
    <mergeCell ref="Q336:Q337"/>
    <mergeCell ref="P312:P313"/>
    <mergeCell ref="P336:P337"/>
    <mergeCell ref="P384:P385"/>
    <mergeCell ref="P408:P409"/>
    <mergeCell ref="P360:P361"/>
    <mergeCell ref="Q360:Q361"/>
    <mergeCell ref="Q408:Q409"/>
    <mergeCell ref="Q384:Q385"/>
    <mergeCell ref="M125:N125"/>
    <mergeCell ref="M126:N126"/>
    <mergeCell ref="M145:N145"/>
    <mergeCell ref="J146:K146"/>
    <mergeCell ref="M146:N146"/>
    <mergeCell ref="A15:B15"/>
    <mergeCell ref="H15:I15"/>
    <mergeCell ref="D15:F15"/>
    <mergeCell ref="M32:N32"/>
    <mergeCell ref="A126:B126"/>
    <mergeCell ref="H14:I14"/>
    <mergeCell ref="J14:K14"/>
    <mergeCell ref="D14:F14"/>
    <mergeCell ref="D145:F145"/>
    <mergeCell ref="J145:K145"/>
    <mergeCell ref="J15:K15"/>
    <mergeCell ref="J126:K126"/>
    <mergeCell ref="D126:F126"/>
    <mergeCell ref="D32:F32"/>
    <mergeCell ref="D33:F33"/>
    <mergeCell ref="M14:N14"/>
    <mergeCell ref="M15:N15"/>
    <mergeCell ref="A51:B51"/>
    <mergeCell ref="J51:K51"/>
    <mergeCell ref="D51:F51"/>
    <mergeCell ref="M33:N33"/>
    <mergeCell ref="J50:K50"/>
    <mergeCell ref="M50:N50"/>
    <mergeCell ref="M51:N51"/>
    <mergeCell ref="A14:B14"/>
    <mergeCell ref="A108:B108"/>
    <mergeCell ref="J108:K108"/>
    <mergeCell ref="D125:F125"/>
    <mergeCell ref="A125:B125"/>
    <mergeCell ref="J125:K125"/>
    <mergeCell ref="D108:F108"/>
    <mergeCell ref="A32:B32"/>
    <mergeCell ref="J32:K32"/>
    <mergeCell ref="J70:K70"/>
    <mergeCell ref="A33:B33"/>
    <mergeCell ref="A50:B50"/>
    <mergeCell ref="J88:K88"/>
    <mergeCell ref="A71:B71"/>
    <mergeCell ref="J71:K71"/>
    <mergeCell ref="D71:F71"/>
    <mergeCell ref="A70:B70"/>
    <mergeCell ref="J33:K33"/>
    <mergeCell ref="D50:F50"/>
    <mergeCell ref="M71:N71"/>
    <mergeCell ref="A89:B89"/>
    <mergeCell ref="J89:K89"/>
    <mergeCell ref="D89:F89"/>
    <mergeCell ref="A88:B88"/>
    <mergeCell ref="J107:K107"/>
    <mergeCell ref="M70:N70"/>
    <mergeCell ref="D88:F88"/>
    <mergeCell ref="M88:N88"/>
    <mergeCell ref="A107:B107"/>
    <mergeCell ref="D107:F107"/>
    <mergeCell ref="D70:F70"/>
    <mergeCell ref="A157:B157"/>
    <mergeCell ref="D157:F157"/>
    <mergeCell ref="A158:B158"/>
    <mergeCell ref="D158:F158"/>
    <mergeCell ref="M89:N89"/>
    <mergeCell ref="M107:N107"/>
    <mergeCell ref="M108:N108"/>
    <mergeCell ref="A146:B146"/>
    <mergeCell ref="D146:F146"/>
    <mergeCell ref="A145:B145"/>
  </mergeCells>
  <phoneticPr fontId="7" type="noConversion"/>
  <pageMargins left="0" right="0" top="0.75" bottom="1" header="0.5" footer="0.5"/>
  <pageSetup scale="44" fitToHeight="0" orientation="landscape"/>
  <headerFooter alignWithMargins="0">
    <oddFooter>&amp;R&amp;A Page &amp;P of &amp;N</oddFooter>
  </headerFooter>
  <rowBreaks count="5" manualBreakCount="5">
    <brk id="69" max="16383" man="1"/>
    <brk id="144" max="16383" man="1"/>
    <brk id="207" max="16383" man="1"/>
    <brk id="279" max="16383" man="1"/>
    <brk id="3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119"/>
  <sheetViews>
    <sheetView zoomScaleNormal="100" workbookViewId="0">
      <selection activeCell="A10" sqref="A10"/>
    </sheetView>
  </sheetViews>
  <sheetFormatPr defaultColWidth="9.1796875" defaultRowHeight="12.5"/>
  <cols>
    <col min="1" max="1" width="52.1796875" style="28" customWidth="1"/>
    <col min="2" max="2" width="12.81640625" style="28" customWidth="1"/>
    <col min="3" max="3" width="13" style="28" customWidth="1"/>
    <col min="4" max="4" width="12" style="28" customWidth="1"/>
    <col min="5" max="5" width="14.6328125" style="28" customWidth="1"/>
    <col min="6" max="6" width="12" style="28" customWidth="1"/>
    <col min="7" max="7" width="11.6328125" style="28" customWidth="1"/>
    <col min="8" max="8" width="23.81640625" style="28" customWidth="1"/>
    <col min="9" max="16384" width="9.1796875" style="28"/>
  </cols>
  <sheetData>
    <row r="1" spans="1:8" ht="15.5">
      <c r="A1" s="148" t="s">
        <v>2803</v>
      </c>
    </row>
    <row r="2" spans="1:8">
      <c r="A2" s="145" t="s">
        <v>2879</v>
      </c>
    </row>
    <row r="3" spans="1:8">
      <c r="A3" s="145" t="s">
        <v>2695</v>
      </c>
    </row>
    <row r="4" spans="1:8">
      <c r="A4" s="145"/>
    </row>
    <row r="5" spans="1:8">
      <c r="A5" s="145" t="s">
        <v>2798</v>
      </c>
    </row>
    <row r="6" spans="1:8">
      <c r="A6" s="145" t="s">
        <v>2796</v>
      </c>
    </row>
    <row r="7" spans="1:8">
      <c r="A7" s="28" t="s">
        <v>2895</v>
      </c>
    </row>
    <row r="8" spans="1:8">
      <c r="A8" s="33" t="s">
        <v>2797</v>
      </c>
    </row>
    <row r="10" spans="1:8">
      <c r="A10" s="145" t="s">
        <v>3277</v>
      </c>
    </row>
    <row r="11" spans="1:8">
      <c r="A11" s="33" t="s">
        <v>2894</v>
      </c>
    </row>
    <row r="12" spans="1:8" ht="13">
      <c r="G12" s="244"/>
    </row>
    <row r="13" spans="1:8" ht="13">
      <c r="A13" s="197" t="s">
        <v>2431</v>
      </c>
      <c r="B13" s="696"/>
      <c r="C13" s="696"/>
      <c r="D13" s="696"/>
      <c r="E13" s="696"/>
      <c r="F13" s="696"/>
      <c r="G13" s="244"/>
    </row>
    <row r="14" spans="1:8" ht="39.75" customHeight="1">
      <c r="A14" s="199" t="s">
        <v>2432</v>
      </c>
      <c r="B14" s="226" t="s">
        <v>2707</v>
      </c>
      <c r="C14" s="226" t="s">
        <v>2709</v>
      </c>
      <c r="D14" s="226" t="s">
        <v>2708</v>
      </c>
      <c r="E14" s="226" t="s">
        <v>2710</v>
      </c>
      <c r="F14" s="226" t="s">
        <v>2684</v>
      </c>
      <c r="G14" s="226" t="s">
        <v>2715</v>
      </c>
      <c r="H14" s="242" t="s">
        <v>2712</v>
      </c>
    </row>
    <row r="15" spans="1:8" ht="13">
      <c r="A15" s="199" t="s">
        <v>2433</v>
      </c>
      <c r="B15" s="200"/>
      <c r="C15" s="200"/>
      <c r="D15" s="243"/>
      <c r="E15" s="243"/>
      <c r="F15" s="697"/>
      <c r="G15" s="243"/>
      <c r="H15" s="243"/>
    </row>
    <row r="16" spans="1:8">
      <c r="A16" s="201" t="s">
        <v>2686</v>
      </c>
      <c r="B16" s="243">
        <f t="array" ref="B16">SUM(VLOOKUP(GIS!A72,GIS!A69:M87,{4},FALSE)+VLOOKUP(GIS!A122,GIS!A119:M137,{4},FALSE)+VLOOKUP(GIS!A147,GIS!A144:M162,{4},FALSE)+VLOOKUP(GIS!A172,GIS!A169:M187,{4},FALSE)+VLOOKUP(GIS!A197,GIS!A194:M213,{4},FALSE)+VLOOKUP(GIS!A83,GIS!A69:M87,{4},FALSE)+VLOOKUP(GIS!A133,GIS!A119:M137,{4},FALSE)+VLOOKUP(GIS!A158,GIS!A144:M162,{4},FALSE)+VLOOKUP(GIS!A183,GIS!A169:M187,{4},FALSE)+VLOOKUP(GIS!A208,GIS!A194:M213,{4},FALSE))</f>
        <v>0</v>
      </c>
      <c r="C16" s="243">
        <f t="array" ref="C16">SUM(VLOOKUP(GIS!A222,GIS!A219:M238,{4},FALSE)+VLOOKUP(GIS!A248,GIS!A245:M264,{4},FALSE)+VLOOKUP(GIS!A274,GIS!A271:M289,{4},FALSE)+VLOOKUP(GIS!A233,GIS!A219:M238,{4},FALSE)+VLOOKUP(GIS!A259,GIS!A245:M264,{4},FALSE)+VLOOKUP(GIS!A285,GIS!A271:M289,{4},FALSE))</f>
        <v>0</v>
      </c>
      <c r="D16" s="243">
        <f t="array" ref="D16">SUM(VLOOKUP(GIS!A72,GIS!A69:M87,{5},FALSE)+VLOOKUP(GIS!A122,GIS!A119:M138,{5},FALSE)+VLOOKUP(GIS!A147,GIS!A144:M163,{5},FALSE)+VLOOKUP(GIS!A172,GIS!A169:N188,{5},FALSE)+VLOOKUP(GIS!A197,GIS!A194:M213,{5},FALSE)+VLOOKUP(GIS!A83,GIS!A69:M87,{5},FALSE)+VLOOKUP(GIS!A133,GIS!A119:M138,{5},FALSE)+VLOOKUP(GIS!A158,GIS!A144:M163,{5},FALSE)+VLOOKUP(GIS!A183,GIS!A169:M188,{5},FALSE)+VLOOKUP(GIS!A208,GIS!A194:M213,{5},FALSE))</f>
        <v>0</v>
      </c>
      <c r="E16" s="243">
        <f t="array" ref="E16">SUM(VLOOKUP(GIS!A97,GIS!A94:M112, {2,4,6,8,10,12}, FALSE)+VLOOKUP(GIS!A108,GIS!A94:M112, {2,4,6,8,10,12}, FALSE))</f>
        <v>1887.1123509294575</v>
      </c>
      <c r="F16" s="697"/>
      <c r="G16" s="243"/>
      <c r="H16" s="243">
        <f>B16+C16+D16-E16</f>
        <v>-1887.1123509294575</v>
      </c>
    </row>
    <row r="17" spans="1:12">
      <c r="A17" s="201" t="s">
        <v>388</v>
      </c>
      <c r="B17" s="243">
        <f t="array" ref="B17">SUM(VLOOKUP(GIS!A81,GIS!A69:M87,{4},FALSE)+VLOOKUP(GIS!A131,GIS!A119:M137,{4},FALSE)+VLOOKUP(GIS!A156,GIS!A144:M162,{4},FALSE)+VLOOKUP(GIS!A181,GIS!A169:M187,{4},FALSE)+VLOOKUP(GIS!A206,GIS!A194:M212,{4},FALSE))</f>
        <v>0</v>
      </c>
      <c r="C17" s="243">
        <f t="array" ref="C17">SUM(VLOOKUP(GIS!A231,GIS!A219:M237,{4},FALSE)+VLOOKUP(GIS!A257,GIS!A245:M263,{4},FALSE)+VLOOKUP(GIS!A283,GIS!A271:M289,{4},FALSE))</f>
        <v>0</v>
      </c>
      <c r="D17" s="243">
        <f t="array" ref="D17">SUM(VLOOKUP(GIS!A81,GIS!A69:M87,{5},FALSE)+VLOOKUP(GIS!A131,GIS!A119:M137,{5},FALSE)+VLOOKUP(GIS!A156,GIS!A144:M162,{5},FALSE)+VLOOKUP(GIS!A181,GIS!A169:N187,{5},FALSE)+VLOOKUP(GIS!A206,GIS!A194:M212,{5},FALSE))</f>
        <v>0</v>
      </c>
      <c r="E17" s="243">
        <f t="array" ref="E17">SUM(VLOOKUP(GIS!A106,GIS!A94:M112, {2,4,6,8,10,12}, FALSE))</f>
        <v>8126.3639306744035</v>
      </c>
      <c r="F17" s="697"/>
      <c r="G17" s="243"/>
      <c r="H17" s="243">
        <f>B17+C17+D17-E17</f>
        <v>-8126.3639306744035</v>
      </c>
    </row>
    <row r="18" spans="1:12">
      <c r="A18" s="201" t="s">
        <v>2681</v>
      </c>
      <c r="B18" s="243">
        <f t="array" ref="B18">SUM(VLOOKUP(GIS!A80,GIS!A69:M87,{4},FALSE)+VLOOKUP(GIS!A130,GIS!A119:M137,{4},FALSE)+VLOOKUP(GIS!A155,GIS!A144:M162,{4},FALSE)+VLOOKUP(GIS!A180,GIS!A169:M187,{4},FALSE)+VLOOKUP(GIS!A205,GIS!A194:M212,{4},FALSE)+VLOOKUP(GIS!A85,GIS!A69:M87,{4},FALSE)+VLOOKUP(GIS!A135,GIS!A119:M137,{4},FALSE)+VLOOKUP(GIS!A160,GIS!A144:M162,{4},FALSE)+VLOOKUP(GIS!A185,GIS!A169:M187,{4},FALSE)+VLOOKUP(GIS!A210,GIS!A194:M212,{4},FALSE))*F18</f>
        <v>0</v>
      </c>
      <c r="C18" s="243">
        <f t="array" ref="C18">SUM(VLOOKUP(GIS!A230,GIS!A219:M237,{4},FALSE)+VLOOKUP(GIS!A256,GIS!A245:M263,{4},FALSE)+VLOOKUP(GIS!A282,GIS!A271:M289,{4},FALSE)+VLOOKUP(GIS!A235,GIS!A219:M237,{4},FALSE)+VLOOKUP(GIS!A261,GIS!A245:M263,{4},FALSE)+VLOOKUP(GIS!A287,GIS!A271:M289,{4},FALSE))*F18</f>
        <v>0</v>
      </c>
      <c r="D18" s="243">
        <f t="array" ref="D18">SUM(VLOOKUP(GIS!A80,GIS!A71:M87,{5},FALSE)+VLOOKUP(GIS!A130,GIS!A119:M137,{5},FALSE)+VLOOKUP(GIS!A155,GIS!A144:M162,{5},FALSE)+VLOOKUP(GIS!A180,GIS!A169:N187,{5},FALSE)+VLOOKUP(GIS!A205,GIS!A194:M212,{5},FALSE)+VLOOKUP(GIS!A85,GIS!A69:M87,{5},FALSE)+VLOOKUP(GIS!A135,GIS!A119:M137,{5},FALSE)+VLOOKUP(GIS!A160,GIS!A144:M162,{5},FALSE)+VLOOKUP(GIS!A185,GIS!A169:M187,{5},FALSE)+VLOOKUP(GIS!A210,GIS!A194:M212,{5},FALSE))*F18</f>
        <v>0</v>
      </c>
      <c r="E18" s="243">
        <f t="array" ref="E18">SUM(VLOOKUP(GIS!A105,GIS!A94:M112, {2,4,6,8,10,12}, FALSE)+VLOOKUP(GIS!A110,GIS!A94:M112, {2,4,6,8,10,12},FALSE))*F18</f>
        <v>0</v>
      </c>
      <c r="F18" s="697">
        <f>'EIA Form 923'!E$2093</f>
        <v>0.55000353765651022</v>
      </c>
      <c r="G18" s="243"/>
      <c r="H18" s="243">
        <f>B18+C18+D18-E18</f>
        <v>0</v>
      </c>
    </row>
    <row r="19" spans="1:12" ht="13">
      <c r="A19" s="199" t="s">
        <v>2434</v>
      </c>
      <c r="B19" s="243"/>
      <c r="C19" s="243"/>
      <c r="D19" s="243"/>
      <c r="E19" s="243"/>
      <c r="F19" s="697"/>
      <c r="G19" s="243"/>
      <c r="H19" s="243"/>
      <c r="L19" s="145"/>
    </row>
    <row r="20" spans="1:12">
      <c r="A20" s="202" t="s">
        <v>396</v>
      </c>
      <c r="B20" s="243">
        <f t="array" ref="B20">SUM(VLOOKUP(GIS!A79,GIS!A69:M87,{4},FALSE)+VLOOKUP(GIS!A129,GIS!A119:M137,{4},FALSE)+VLOOKUP(GIS!A154,GIS!A144:M162,{4},FALSE)+VLOOKUP(GIS!A179,GIS!A169:M187,{4},FALSE)+VLOOKUP(GIS!A204,GIS!A194:M212,{4},FALSE))</f>
        <v>206750.30600450656</v>
      </c>
      <c r="C20" s="243">
        <f t="array" ref="C20">SUM(VLOOKUP(GIS!A229,GIS!A219:M237,{4},FALSE)+VLOOKUP(GIS!A255,GIS!A245:M263,{4},FALSE)+VLOOKUP(GIS!A281,GIS!A271:M289,{4},FALSE))</f>
        <v>1745837.5954320799</v>
      </c>
      <c r="D20" s="243">
        <f t="array" ref="D20">SUM(VLOOKUP(GIS!A79,GIS!A69:M87,{4,5},FALSE)+VLOOKUP(GIS!A129,GIS!A119:M137,{4,5},FALSE)+VLOOKUP(GIS!A154,GIS!A144:M162,{4,5},FALSE)+VLOOKUP(GIS!A179,GIS!A169:M187,{4,5},FALSE)+VLOOKUP(GIS!A204,GIS!A194:M212,{4,5},FALSE))</f>
        <v>443328.83519504475</v>
      </c>
      <c r="E20" s="243">
        <f t="array" ref="E20">SUM(VLOOKUP(GIS!A104,GIS!A94:M112, {2,4,6,8,10,12}, FALSE))</f>
        <v>791464.51615205116</v>
      </c>
      <c r="F20" s="697"/>
      <c r="G20" s="243"/>
      <c r="H20" s="243">
        <f>B20+C20+D20-E20</f>
        <v>1604452.2204795796</v>
      </c>
    </row>
    <row r="21" spans="1:12">
      <c r="A21" s="202" t="s">
        <v>2682</v>
      </c>
      <c r="B21" s="243">
        <f t="array" ref="B21">SUM(VLOOKUP(GIS!A80,GIS!A69:M87,{4},FALSE)+VLOOKUP(GIS!A130,GIS!A119:M138,{4},FALSE)+VLOOKUP(GIS!A155,GIS!A144:M163,{4},FALSE)+VLOOKUP(GIS!A180,GIS!A169:M188,{4},FALSE)+VLOOKUP(GIS!A205,GIS!A194:M212,{4},FALSE)+VLOOKUP(GIS!A85,GIS!A69:M87,{4},FALSE)+VLOOKUP(GIS!A135,GIS!A119:M138,{4},FALSE)+VLOOKUP(GIS!A160,GIS!A144:M163,{4},FALSE)+VLOOKUP(GIS!A185,GIS!A169:M188,{4},FALSE)+VLOOKUP(GIS!A210,GIS!A194:M212,{4},FALSE))*F21</f>
        <v>0</v>
      </c>
      <c r="C21" s="243">
        <f t="array" ref="C21">SUM(VLOOKUP(GIS!A230,GIS!A219:M237,{4},FALSE)+VLOOKUP(GIS!A256,GIS!A245:M263,{4},FALSE)+VLOOKUP(GIS!A282,GIS!A271:M289,{4},FALSE)+VLOOKUP(GIS!A235,GIS!A219:M237,{4},FALSE)+VLOOKUP(GIS!A261,GIS!A245:M263,{4},FALSE)+VLOOKUP(GIS!A287,GIS!A271:M289,{4},FALSE))*F21</f>
        <v>0</v>
      </c>
      <c r="D21" s="243">
        <f t="array" ref="D21">SUM(VLOOKUP(GIS!A80,GIS!A69:M87,{5},FALSE)+VLOOKUP(GIS!A130,GIS!A119:M137,{5},FALSE)+VLOOKUP(GIS!A155,GIS!A144:M162,{5},FALSE)+VLOOKUP(GIS!A180,GIS!A169:M187,{5},FALSE)+VLOOKUP(GIS!A205,GIS!A194:M212,{5},FALSE)+VLOOKUP(GIS!A85,GIS!A69:M87,{5},FALSE)+VLOOKUP(GIS!A135,GIS!A119:M137,{5},FALSE)+VLOOKUP(GIS!A160,GIS!A144:M162,{5},FALSE)+VLOOKUP(GIS!A185,GIS!A169:M187,{5},FALSE)+VLOOKUP(GIS!A210,GIS!A194:M212,{5},FALSE))*F21</f>
        <v>0</v>
      </c>
      <c r="E21" s="243">
        <f t="array" ref="E21">SUM(VLOOKUP(GIS!A105,GIS!A94:M112, {2,4,6,8,10,12}, FALSE)+VLOOKUP(GIS!A110,GIS!A94:M112, {2,4,6,8,10,12},FALSE))*F21</f>
        <v>0</v>
      </c>
      <c r="F21" s="697">
        <f>1-F18</f>
        <v>0.44999646234348978</v>
      </c>
      <c r="G21" s="243"/>
      <c r="H21" s="243">
        <f>B21+C21+D21-E21</f>
        <v>0</v>
      </c>
    </row>
    <row r="22" spans="1:12">
      <c r="A22" s="202" t="s">
        <v>2683</v>
      </c>
      <c r="B22" s="243">
        <f t="array" ref="B22">SUM(VLOOKUP(GIS!A70,GIS!A69:M87,{4},FALSE)+VLOOKUP(GIS!A120,GIS!A119:M137,{4},FALSE)+VLOOKUP(GIS!A145,GIS!A144:M162,{4},FALSE)+VLOOKUP(GIS!A170,GIS!A169:M187,{4},FALSE)+VLOOKUP(GIS!A195,GIS!A194:M212,{4},FALSE)+VLOOKUP(GIS!A87,GIS!A69:M87,{4},FALSE)+VLOOKUP(GIS!A137,GIS!A119:M137,{4},FALSE)+VLOOKUP(GIS!A162,GIS!A144:M162,{4},FALSE)+VLOOKUP(GIS!A187,GIS!A169:M187,{4},FALSE)+VLOOKUP(GIS!A212,GIS!A194:M212,{4},FALSE))</f>
        <v>0</v>
      </c>
      <c r="C22" s="243">
        <f t="array" ref="C22">SUM(VLOOKUP(GIS!A220,GIS!A219:M237,{4},FALSE)+VLOOKUP(GIS!A246,GIS!A245:M263,{4},FALSE)+VLOOKUP(GIS!A272,GIS!A271:M289,{4},FALSE)+VLOOKUP(GIS!A237,GIS!A219:M237,{4},FALSE)+VLOOKUP(GIS!A263,GIS!A245:M263,{4},FALSE)+VLOOKUP(GIS!A289,GIS!A271:M289,{4},FALSE))</f>
        <v>0</v>
      </c>
      <c r="D22" s="243">
        <f t="array" ref="D22">SUM(VLOOKUP(GIS!A70,GIS!A69:M87,{5},FALSE)+VLOOKUP(GIS!A120,GIS!A119:M137,{5},FALSE)+VLOOKUP(GIS!A145,GIS!A144:M162,{5},FALSE)+VLOOKUP(GIS!A170,GIS!A169:M187,{5},FALSE)+VLOOKUP(GIS!A195,GIS!A194:M212,{5},FALSE)+VLOOKUP(GIS!A87,GIS!A69:M87,{5},FALSE)+VLOOKUP(GIS!A137,GIS!A119:M137,{5},FALSE)+VLOOKUP(GIS!A162,GIS!A144:M162,{5},FALSE)+VLOOKUP(GIS!A187,GIS!A169:M187,{5},FALSE)+VLOOKUP(GIS!A212,GIS!A194:M212,{5},FALSE))</f>
        <v>1619.3151483638371</v>
      </c>
      <c r="E22" s="243">
        <f t="array" ref="E22">SUM(VLOOKUP(GIS!A95,GIS!A94:M112, {2,4,6,8,10,12}, FALSE)+VLOOKUP(GIS!A112,GIS!A94:M112, {2,4,6,8,10,12},FALSE))</f>
        <v>1823973.3454900221</v>
      </c>
      <c r="F22" s="697"/>
      <c r="G22" s="243"/>
      <c r="H22" s="243">
        <f>B22+C22+D22-E22</f>
        <v>-1822354.0303416583</v>
      </c>
    </row>
    <row r="23" spans="1:12">
      <c r="A23" s="203" t="s">
        <v>2425</v>
      </c>
      <c r="B23" s="243">
        <f t="array" ref="B23">SUM(VLOOKUP(GIS!A69,GIS!A69:M87,{4},FALSE)+VLOOKUP(GIS!A119,GIS!A119:M137,{4},FALSE)+VLOOKUP(GIS!A144,GIS!A144:M162,{4},FALSE)+VLOOKUP(GIS!A169,GIS!A169:M187,{4},FALSE)+VLOOKUP(GIS!A194,GIS!A194:M212,{4},FALSE)+VLOOKUP(GIS!A73,GIS!A69:M87,{4},FALSE)+VLOOKUP(GIS!A123,GIS!A119:M137,{4},FALSE)+VLOOKUP(GIS!A148,GIS!A144:M162,{4},FALSE)+VLOOKUP(GIS!A173,GIS!A169:M187,{4},FALSE)+VLOOKUP(GIS!A198,GIS!A194:M212,{4},FALSE))</f>
        <v>50227.581671051317</v>
      </c>
      <c r="C23" s="243">
        <f t="array" ref="C23">SUM(VLOOKUP(GIS!A219,GIS!A219:M237,{4},FALSE)+VLOOKUP(GIS!A245,GIS!A245:M263,{4},FALSE)+VLOOKUP(GIS!A271,GIS!A271:M289,{4},FALSE)+VLOOKUP(GIS!A223,GIS!A219:M237,{4},FALSE)+VLOOKUP(GIS!A249,GIS!A245:M263,{4},FALSE)+VLOOKUP(GIS!A275,GIS!A271:M289,{4},FALSE))</f>
        <v>0</v>
      </c>
      <c r="D23" s="243">
        <f t="array" ref="D23">SUM(VLOOKUP(GIS!A69,GIS!A69:M87,{5},FALSE)+VLOOKUP(GIS!A119,GIS!A119:M137,{5},FALSE)+VLOOKUP(GIS!A144,GIS!A144:M162,{5},FALSE)+VLOOKUP(GIS!A169,GIS!A169:M187,{5},FALSE)+VLOOKUP(GIS!A194,GIS!A194:M212,{5},FALSE)+VLOOKUP(GIS!A73,GIS!A69:M87,{5},FALSE)+VLOOKUP(GIS!A123,GIS!A119:M137,{5},FALSE)+VLOOKUP(GIS!A148,GIS!A144:M162,{5},FALSE)+VLOOKUP(GIS!A173,GIS!A169:M187,{5},FALSE)+VLOOKUP(GIS!A198,GIS!A194:M212,{5},FALSE))</f>
        <v>17260.9490290301</v>
      </c>
      <c r="E23" s="243">
        <f t="array" ref="E23">SUM(VLOOKUP(GIS!A94,GIS!A94:M112, {2,4,6,8,10,12}, FALSE)+VLOOKUP(GIS!A98,GIS!A94:M112, {2,4,6,8,10,12}, FALSE))</f>
        <v>0</v>
      </c>
      <c r="F23" s="697"/>
      <c r="G23" s="243"/>
      <c r="H23" s="243">
        <f>B23+C23+D23-E23</f>
        <v>67488.530700081421</v>
      </c>
    </row>
    <row r="24" spans="1:12">
      <c r="A24" s="198"/>
    </row>
    <row r="25" spans="1:12" ht="13">
      <c r="A25" s="197" t="s">
        <v>2435</v>
      </c>
      <c r="B25" s="696"/>
      <c r="C25" s="696"/>
      <c r="D25" s="696"/>
      <c r="E25" s="696"/>
      <c r="F25" s="696"/>
    </row>
    <row r="26" spans="1:12" ht="39">
      <c r="A26" s="199" t="s">
        <v>2432</v>
      </c>
      <c r="B26" s="226" t="s">
        <v>2707</v>
      </c>
      <c r="C26" s="226" t="s">
        <v>2709</v>
      </c>
      <c r="D26" s="226" t="s">
        <v>2708</v>
      </c>
      <c r="E26" s="226" t="s">
        <v>2710</v>
      </c>
      <c r="F26" s="226" t="s">
        <v>2684</v>
      </c>
      <c r="G26" s="226" t="s">
        <v>2715</v>
      </c>
      <c r="H26" s="242" t="s">
        <v>2712</v>
      </c>
    </row>
    <row r="27" spans="1:12" ht="13">
      <c r="A27" s="89" t="s">
        <v>2433</v>
      </c>
      <c r="H27" s="654"/>
    </row>
    <row r="28" spans="1:12">
      <c r="A28" s="201" t="s">
        <v>2686</v>
      </c>
      <c r="B28" s="243">
        <f t="array" ref="B28">SUM(VLOOKUP(GIS!A97,GIS!A94:M112,{2},FALSE)+VLOOKUP(GIS!A122,GIS!A119:M137,{2},FALSE)+VLOOKUP(GIS!A147,GIS!A144:M162,{2},FALSE)+VLOOKUP(GIS!A172,GIS!A169:M187,{2},FALSE)+VLOOKUP(GIS!A197,GIS!A194:M212,{2},FALSE)+VLOOKUP(GIS!A108,GIS!A94:M112,{2},FALSE)+VLOOKUP(GIS!A133,GIS!A119:M137,{2},FALSE)+VLOOKUP(GIS!A158,GIS!A144:M162,{2},FALSE)+VLOOKUP(GIS!A183,GIS!A169:M187,{2},FALSE)+VLOOKUP(GIS!A208,GIS!A194:M212,{2},FALSE))</f>
        <v>0</v>
      </c>
      <c r="C28" s="243">
        <f t="array" ref="C28">SUM(VLOOKUP(GIS!A222,GIS!A219:M237,{2},FALSE)+VLOOKUP(GIS!A248,GIS!A245:M263,{2},FALSE)+VLOOKUP(GIS!A274,GIS!A271:M289,{2},FALSE)+VLOOKUP(GIS!A233,GIS!A219:M237,{2},FALSE)+VLOOKUP(GIS!A259,GIS!A245:M263,{2},FALSE)+VLOOKUP(GIS!A285,GIS!A271:M289,{2},FALSE))</f>
        <v>0</v>
      </c>
      <c r="D28" s="243">
        <f t="array" ref="D28">SUM(VLOOKUP(GIS!A97,GIS!A94:M112,{3},FALSE)+VLOOKUP(GIS!A122,GIS!A119:M137,{3},FALSE)+VLOOKUP(GIS!A147,GIS!A144:M162,{3},FALSE)+VLOOKUP(GIS!A172,GIS!A169:N187,{3},FALSE)+VLOOKUP(GIS!A197,GIS!A194:M212,{3},FALSE)+VLOOKUP(GIS!A108,GIS!A94:M112,{3},FALSE)+VLOOKUP(GIS!A133,GIS!A119:M137,{3},FALSE)+VLOOKUP(GIS!A158,GIS!A144:M162,{3},FALSE)+VLOOKUP(GIS!A183,GIS!A169:M187,{3},FALSE)+VLOOKUP(GIS!A208,GIS!A194:M212,{3},FALSE))</f>
        <v>0</v>
      </c>
      <c r="E28" s="243">
        <f t="array" ref="E28">SUM(VLOOKUP(GIS!A72,GIS!A69:M87, {2,4,6,8,10,12}, FALSE)+VLOOKUP(GIS!A83,GIS!A69:M87, {2,4,6,8,10,12}, FALSE))</f>
        <v>0</v>
      </c>
      <c r="F28" s="697"/>
      <c r="G28" s="243"/>
      <c r="H28" s="243">
        <f>B28+C28+D28-E28</f>
        <v>0</v>
      </c>
    </row>
    <row r="29" spans="1:12">
      <c r="A29" s="201" t="s">
        <v>388</v>
      </c>
      <c r="B29" s="243">
        <f t="array" ref="B29">SUM(VLOOKUP(GIS!A106,GIS!A94:M112,{2},FALSE)+VLOOKUP(GIS!A131,GIS!A119:M137,{2},FALSE)+VLOOKUP(GIS!A156,GIS!A144:M162,{2},FALSE)+VLOOKUP(GIS!A181,GIS!A169:M187,{2},FALSE)+VLOOKUP(GIS!A206,GIS!A194:M212,{2},FALSE))</f>
        <v>0</v>
      </c>
      <c r="C29" s="243">
        <f t="array" ref="C29">SUM(VLOOKUP(GIS!A231,GIS!A219:M237,{2},FALSE)+VLOOKUP(GIS!A257,GIS!A245:M263,{2},FALSE)+VLOOKUP(GIS!A283,GIS!A271:M289,{2},FALSE))</f>
        <v>0</v>
      </c>
      <c r="D29" s="243">
        <f t="array" ref="D29">SUM(VLOOKUP(GIS!A106,GIS!A94:M112,{3},FALSE)+VLOOKUP(GIS!A131,GIS!A119:M137,{3},FALSE)+VLOOKUP(GIS!A156,GIS!A144:M162,{3},FALSE)+VLOOKUP(GIS!A181,GIS!A169:N187,{3},FALSE)+VLOOKUP(GIS!A206,GIS!A194:M212,{3},FALSE))</f>
        <v>0</v>
      </c>
      <c r="E29" s="243">
        <f t="array" ref="E29">SUM(VLOOKUP(GIS!A81,GIS!A69:M87, {2,4,6,8,10,12}, FALSE))</f>
        <v>0</v>
      </c>
      <c r="G29" s="243"/>
      <c r="H29" s="243">
        <f>B29+C29+D29-E29</f>
        <v>0</v>
      </c>
    </row>
    <row r="30" spans="1:12">
      <c r="A30" s="201" t="s">
        <v>2681</v>
      </c>
      <c r="B30" s="243">
        <f t="array" ref="B30">SUM(VLOOKUP(GIS!A105,GIS!A105: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30</f>
        <v>0</v>
      </c>
      <c r="C30" s="243">
        <f t="array" ref="C30">SUM(VLOOKUP(GIS!A230,GIS!A219:M237,{2},FALSE)+VLOOKUP(GIS!A256,GIS!A245:M263,{2},FALSE)+VLOOKUP(GIS!A282,GIS!A271:M289,{2},FALSE)+VLOOKUP(GIS!A235,GIS!A219:M237,{2},FALSE)+VLOOKUP(GIS!A261,GIS!A245:M263,{2},FALSE)+VLOOKUP(GIS!A287,GIS!A271:M289,{2},FALSE))*F30</f>
        <v>0</v>
      </c>
      <c r="D30" s="243">
        <f t="array" ref="D30">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30</f>
        <v>0</v>
      </c>
      <c r="E30" s="243">
        <f t="array" ref="E30">SUM(VLOOKUP(GIS!A80,GIS!A69:M87, {2,4,6,8,10,12}, FALSE)+VLOOKUP(GIS!A85,GIS!A69:M87, {2,4,6,8,10,12}, FALSE))*F30</f>
        <v>0</v>
      </c>
      <c r="F30" s="172">
        <f>'EIA Form 923'!E$2093</f>
        <v>0.55000353765651022</v>
      </c>
      <c r="G30" s="243"/>
      <c r="H30" s="243">
        <f>B30+C30+D30-E30</f>
        <v>0</v>
      </c>
    </row>
    <row r="31" spans="1:12" ht="13">
      <c r="A31" s="199" t="s">
        <v>2434</v>
      </c>
      <c r="B31" s="243"/>
      <c r="C31" s="243"/>
      <c r="D31" s="243"/>
      <c r="E31" s="243"/>
      <c r="F31" s="172"/>
      <c r="G31" s="243"/>
      <c r="H31" s="243"/>
    </row>
    <row r="32" spans="1:12">
      <c r="A32" s="202" t="s">
        <v>396</v>
      </c>
      <c r="B32" s="243">
        <f t="array" ref="B32">SUM(VLOOKUP(GIS!A104,GIS!A94:M112,{2},FALSE)+VLOOKUP(GIS!A129,GIS!A119:M138,{2},FALSE)+VLOOKUP(GIS!A154,GIS!A144:M163,{2},FALSE)+VLOOKUP(GIS!A179,GIS!A169:M188,{2},FALSE)+VLOOKUP(GIS!A204,GIS!A194:M212,{2},FALSE))</f>
        <v>719312.12393399363</v>
      </c>
      <c r="C32" s="243">
        <f t="array" ref="C32">SUM(VLOOKUP(GIS!A229,GIS!A219:M237,{2},FALSE)+VLOOKUP(GIS!A255,GIS!A245:M263,{2},FALSE)+VLOOKUP(GIS!A281,GIS!A271:M289,{2},FALSE))</f>
        <v>3298143.1354602776</v>
      </c>
      <c r="D32" s="243">
        <f t="array" ref="D32">SUM(VLOOKUP(GIS!A104,GIS!A94:M112,{3},FALSE)+VLOOKUP(GIS!A129,GIS!A119:M137,{3},FALSE)+VLOOKUP(GIS!A154,GIS!A144:M162,{3},FALSE)+VLOOKUP(GIS!A179,GIS!A169:N187,{3},FALSE)+VLOOKUP(GIS!A204,GIS!A194:M212,{3},FALSE))</f>
        <v>468806.47626824933</v>
      </c>
      <c r="E32" s="243">
        <f t="array" ref="E32">SUM(VLOOKUP(GIS!A79,GIS!A69:M87, {2,4,6,8,10,12}, FALSE))</f>
        <v>7942.1448624368331</v>
      </c>
      <c r="F32" s="172"/>
      <c r="G32" s="243"/>
      <c r="H32" s="243">
        <f>B32+C32+D32-E32</f>
        <v>4478319.5908000842</v>
      </c>
    </row>
    <row r="33" spans="1:8">
      <c r="A33" s="202" t="s">
        <v>2682</v>
      </c>
      <c r="B33" s="243">
        <f t="array" ref="B33">SUM(VLOOKUP(GIS!A105,GIS!A94:M112,{2},FALSE)+VLOOKUP(GIS!A130,GIS!A119:M137,{2},FALSE)+VLOOKUP(GIS!A155,GIS!A144:M162,{2},FALSE)+VLOOKUP(GIS!A180,GIS!A169:M187,{2},FALSE)+VLOOKUP(GIS!A205,GIS!A194:M212,{2},FALSE)+VLOOKUP(GIS!A110,GIS!A94:M112,{2},FALSE)+VLOOKUP(GIS!A135,GIS!A119:M137,{2},FALSE)+VLOOKUP(GIS!A160,GIS!A144:M162,{2},FALSE)+VLOOKUP(GIS!A185,GIS!A169:M187,{2},FALSE)+VLOOKUP(GIS!A210,GIS!A194:M212,{2},FALSE))*F33</f>
        <v>0</v>
      </c>
      <c r="C33" s="243">
        <f t="array" ref="C33">SUM(VLOOKUP(GIS!A230,GIS!A219:M237,{2},FALSE)+VLOOKUP(GIS!A256,GIS!A245:M263,{2},FALSE)+VLOOKUP(GIS!A282,GIS!A271:M289,{2},FALSE)+VLOOKUP(GIS!A235,GIS!A219:M237,{2},FALSE)+VLOOKUP(GIS!A261,GIS!A245:M263,{2},FALSE)+VLOOKUP(GIS!A287,GIS!A271:M289,{2},FALSE))*F33</f>
        <v>0</v>
      </c>
      <c r="D33" s="243">
        <f t="array" ref="D33">SUM(VLOOKUP(GIS!A105,GIS!A94:M112,{3},FALSE)+VLOOKUP(GIS!A130,GIS!A119:M137,{3},FALSE)+VLOOKUP(GIS!A155,GIS!A144:M162,{3},FALSE)+VLOOKUP(GIS!A180,GIS!A169:N187,{3},FALSE)+VLOOKUP(GIS!A205,GIS!A194:M212,{3},FALSE)+VLOOKUP(GIS!A110,GIS!A94:M112,{3},FALSE)+VLOOKUP(GIS!A135,GIS!A119:M137,{3},FALSE)+VLOOKUP(GIS!A160,GIS!A144:M162,{3},FALSE)+VLOOKUP(GIS!A185,GIS!A169:M187,{3},FALSE)+VLOOKUP(GIS!A210,GIS!A194:M212,{3},FALSE))*F33</f>
        <v>0</v>
      </c>
      <c r="E33" s="243">
        <f t="array" ref="E33">SUM(VLOOKUP(GIS!A80,GIS!A69:M87,{2,4,6,8,10,12},FALSE)+VLOOKUP(GIS!A85,GIS!A69:M87,{2,4,6,8,10,12},FALSE))*F33</f>
        <v>0</v>
      </c>
      <c r="F33" s="172">
        <f>1-F30</f>
        <v>0.44999646234348978</v>
      </c>
      <c r="G33" s="243"/>
      <c r="H33" s="243">
        <f>B33+C33+D33-E33</f>
        <v>0</v>
      </c>
    </row>
    <row r="34" spans="1:8">
      <c r="A34" s="202" t="s">
        <v>2683</v>
      </c>
      <c r="B34" s="243">
        <f t="array" ref="B34">SUM(VLOOKUP(GIS!A95,GIS!A94:M112,{2},FALSE)+VLOOKUP(GIS!A120,GIS!A119:M137,{2},FALSE)+VLOOKUP(GIS!A145,GIS!A144:M162,{2},FALSE)+VLOOKUP(GIS!A170,GIS!A169:M187,{2},FALSE)+VLOOKUP(GIS!A195,GIS!A194:M212,{2},FALSE)+VLOOKUP(GIS!A112,GIS!A94:M112,{2},FALSE)+VLOOKUP(GIS!A137,GIS!A119:M137,{2},FALSE)+VLOOKUP(GIS!A162,GIS!A144:M162,{2},FALSE)+VLOOKUP(GIS!A187,GIS!A169:M187,{2},FALSE)+VLOOKUP(GIS!A212,GIS!A194:M212,{2},FALSE))</f>
        <v>18700170.631027516</v>
      </c>
      <c r="C34" s="243">
        <f t="array" ref="C34">SUM(VLOOKUP(GIS!A220,GIS!A219:M237,{2},FALSE)+VLOOKUP(GIS!A246,GIS!A245:M263,{2},FALSE)+VLOOKUP(GIS!A272,GIS!A271:M289,{2},FALSE)+VLOOKUP(GIS!A237,GIS!A219:M237,{2},FALSE)+VLOOKUP(GIS!A263,GIS!A245:M263,{2},FALSE)+VLOOKUP(GIS!A287,GIS!A271:M289,{2},FALSE))</f>
        <v>0</v>
      </c>
      <c r="D34" s="243">
        <f t="array" ref="D34">SUM(VLOOKUP(GIS!A95,GIS!A94:M112,{3},FALSE)+VLOOKUP(GIS!A120,GIS!A119:M137,{3},FALSE)+VLOOKUP(GIS!A145,GIS!A144:M162,{3},FALSE)+VLOOKUP(GIS!A170,GIS!A169:N187,{3},FALSE)+VLOOKUP(GIS!A195,GIS!A194:M212,{3},FALSE)+VLOOKUP(GIS!A112,GIS!A94:M112,{3},FALSE)+VLOOKUP(GIS!A137,GIS!A119:M137,{3},FALSE)+VLOOKUP(GIS!A162,GIS!A144:M162,{3},FALSE)+VLOOKUP(GIS!A187,GIS!A169:M187,{3},FALSE)+VLOOKUP(GIS!A212,GIS!A194:M212,{3},FALSE))</f>
        <v>75696.121681143442</v>
      </c>
      <c r="E34" s="243">
        <f t="array" ref="E34">SUM(VLOOKUP(GIS!A70,GIS!A69:M87, {2,4,6,8,10,12}, FALSE)+VLOOKUP(GIS!A87,GIS!A69:M87, {2,4,6,8,10,12},FALSE))</f>
        <v>0</v>
      </c>
      <c r="G34" s="243"/>
      <c r="H34" s="243">
        <f>B34+C34+D34-E34</f>
        <v>18775866.752708659</v>
      </c>
    </row>
    <row r="35" spans="1:8">
      <c r="A35" s="203" t="s">
        <v>2425</v>
      </c>
      <c r="B35" s="243">
        <f t="array" ref="B35">SUM(VLOOKUP(GIS!A94,GIS!A94:M112,{2},FALSE)+VLOOKUP(GIS!A119,GIS!A119:M137,{2},FALSE)+VLOOKUP(GIS!A144,GIS!A144:M162,{2},FALSE)+VLOOKUP(GIS!A169,GIS!A169:M187,{2},FALSE)+VLOOKUP(GIS!A194,GIS!A194:M212,{2},FALSE)+VLOOKUP(GIS!A98,GIS!A94:M112,{2},FALSE)+VLOOKUP(GIS!A123,GIS!A119:M137,{2},FALSE)+VLOOKUP(GIS!A148,GIS!A144:M162,{2},FALSE)+VLOOKUP(GIS!A173,GIS!A169:M187,{2},FALSE)+VLOOKUP(GIS!A198,GIS!A194:M212,{2},FALSE))</f>
        <v>3148.3878248047786</v>
      </c>
      <c r="C35" s="243">
        <f t="array" ref="C35">SUM(VLOOKUP(GIS!A219,GIS!A219:M237,{2},FALSE)+VLOOKUP(GIS!A245,GIS!A245:M263,{2},FALSE)+VLOOKUP(GIS!A271,GIS!A271:M289,{2},FALSE)+VLOOKUP(GIS!A223,GIS!A219:M237,{2},FALSE)+VLOOKUP(GIS!A249,GIS!A245:M263,{2},FALSE)+VLOOKUP(GIS!A275,GIS!A271:M289,{2},FALSE))</f>
        <v>0</v>
      </c>
      <c r="D35" s="243">
        <f t="array" ref="D35">SUM(VLOOKUP(GIS!A94,GIS!A94:M112,{3},FALSE)+VLOOKUP(GIS!A119,GIS!A119:M137,{3},FALSE)+VLOOKUP(GIS!A144,GIS!A144:M162,{3},FALSE)+VLOOKUP(GIS!A169,GIS!A169:N187,{3},FALSE)+VLOOKUP(GIS!A194,GIS!A194:M212,{3},FALSE)+VLOOKUP(GIS!A98,GIS!A94:M112,{3},FALSE)+VLOOKUP(GIS!A123,GIS!A119:M137,{3},FALSE)+VLOOKUP(GIS!A148,GIS!A144:M162,{3},FALSE)+VLOOKUP(GIS!A173,GIS!A169:M187,{3},FALSE)+VLOOKUP(GIS!A198,GIS!A194:M212,{3},FALSE))</f>
        <v>49435.378706949734</v>
      </c>
      <c r="E35" s="243">
        <f t="array" ref="E35">SUM(VLOOKUP(GIS!A69,GIS!A69:M87, {2,4,6,8,10,12}, FALSE)+VLOOKUP(GIS!A73,GIS!A69:M87, {2,4,6,8,10,12}, FALSE))</f>
        <v>0</v>
      </c>
      <c r="G35" s="243"/>
      <c r="H35" s="243">
        <f>B35+C35+D35-E35</f>
        <v>52583.766531754511</v>
      </c>
    </row>
    <row r="36" spans="1:8">
      <c r="A36" s="198"/>
    </row>
    <row r="37" spans="1:8" ht="13">
      <c r="A37" s="197" t="s">
        <v>2436</v>
      </c>
      <c r="B37" s="696"/>
      <c r="C37" s="696"/>
      <c r="D37" s="696"/>
      <c r="E37" s="696"/>
      <c r="F37" s="696"/>
    </row>
    <row r="38" spans="1:8" ht="39">
      <c r="A38" s="199" t="s">
        <v>2432</v>
      </c>
      <c r="B38" s="226" t="s">
        <v>2707</v>
      </c>
      <c r="C38" s="226" t="s">
        <v>2709</v>
      </c>
      <c r="D38" s="226" t="s">
        <v>2708</v>
      </c>
      <c r="E38" s="226" t="s">
        <v>2710</v>
      </c>
      <c r="F38" s="226" t="s">
        <v>2684</v>
      </c>
      <c r="G38" s="226" t="s">
        <v>2715</v>
      </c>
      <c r="H38" s="226" t="s">
        <v>2712</v>
      </c>
    </row>
    <row r="39" spans="1:8" ht="13">
      <c r="A39" s="89" t="s">
        <v>2433</v>
      </c>
      <c r="H39" s="654"/>
    </row>
    <row r="40" spans="1:8">
      <c r="A40" s="201" t="s">
        <v>2686</v>
      </c>
      <c r="B40" s="243">
        <f t="array" ref="B40">SUM(VLOOKUP(GIS!A72,GIS!$A$69:$M$87,{6},FALSE)+VLOOKUP(GIS!A97,GIS!$A$94:$M$112,{6},FALSE)+VLOOKUP(GIS!A147,GIS!$A$144:$M$162,{6},FALSE)+VLOOKUP(GIS!A172,GIS!$A$169:$M$187,{6},FALSE)+VLOOKUP(GIS!A197,GIS!$A$194:$M$212,{6},FALSE)+VLOOKUP(GIS!A83,GIS!$A$69:$M$87,{6},FALSE)+VLOOKUP(GIS!A108,GIS!$A$94:$M$112,{6},FALSE)+VLOOKUP(GIS!A158,GIS!$A$144:$M$162,{6},FALSE)+VLOOKUP(GIS!A183,GIS!$A$169:$M$187,{6},FALSE)+VLOOKUP(GIS!A208,GIS!$A$194:$M$212,{6},FALSE))</f>
        <v>0</v>
      </c>
      <c r="C40" s="243">
        <f t="array" ref="C40">SUM(VLOOKUP(GIS!A222,GIS!$A$219:$M$237,{6},FALSE)+VLOOKUP(GIS!A248,GIS!$A$245:$M$263,{6},FALSE)+VLOOKUP(GIS!A274,GIS!$A$271:$M$289,{6},FALSE)+VLOOKUP(GIS!A233,GIS!$A$219:$M$237,{6},FALSE)+VLOOKUP(GIS!A259,GIS!$A$245:$M$263,{6},FALSE)+VLOOKUP(GIS!A285,GIS!$A$271:$M$289,{6},FALSE))</f>
        <v>0</v>
      </c>
      <c r="D40" s="243">
        <f t="array" ref="D40">SUM(VLOOKUP(GIS!A72,GIS!$A$69:$M$87,{7},FALSE)+VLOOKUP(GIS!A97,GIS!$A$94:$M$112,{7},FALSE)+VLOOKUP(GIS!A147,GIS!$A$144:$M$162,{7},FALSE)+VLOOKUP(GIS!A172,GIS!$A$169:$M$187,{7},FALSE)+VLOOKUP(GIS!A197,GIS!$A$194:$M$212,{7},FALSE)+VLOOKUP(GIS!A83,GIS!$A$69:$M$87,{7},FALSE)+VLOOKUP(GIS!A108,GIS!$A$94:$M$112,{7},FALSE)+VLOOKUP(GIS!A158,GIS!$A$144:$M$162,{7},FALSE)+VLOOKUP(GIS!A183,GIS!$A$169:$M$187,{7},FALSE)+VLOOKUP(GIS!A208,GIS!$A$194:$M$212,{7},FALSE))</f>
        <v>0</v>
      </c>
      <c r="E40" s="243">
        <f t="array" ref="E40">SUM(VLOOKUP(GIS!A122,GIS!$A$119:$M$137, {2,4,6,8,10,12}, FALSE)+VLOOKUP(GIS!A133,GIS!$A$119:$M$137, {2,4,6,8,10,12}, FALSE))</f>
        <v>0</v>
      </c>
      <c r="F40" s="697"/>
      <c r="G40" s="243"/>
      <c r="H40" s="243">
        <f>B40+C40+D40-E40</f>
        <v>0</v>
      </c>
    </row>
    <row r="41" spans="1:8">
      <c r="A41" s="201" t="s">
        <v>388</v>
      </c>
      <c r="B41" s="243">
        <f t="array" ref="B41">SUM(VLOOKUP(GIS!A81,GIS!$A$69:$M$87,{6},FALSE)+VLOOKUP(GIS!A106,GIS!$A$94:$M$112,{6},FALSE)+VLOOKUP(GIS!A156,GIS!$A$144:$M$162,{6},FALSE)+VLOOKUP(GIS!A181,GIS!$A$169:$M$187,{6},FALSE)+VLOOKUP(GIS!A195,GIS!$A$194:$M$212,{6},FALSE))</f>
        <v>0</v>
      </c>
      <c r="C41" s="243">
        <f t="array" ref="C41">SUM(VLOOKUP(GIS!A231,GIS!$A$219:$M$237,{6},FALSE)+VLOOKUP(GIS!A257,GIS!$A$245:$M$263,{6},FALSE)+VLOOKUP(GIS!A283,GIS!$A$271:$M$289,{6},FALSE))</f>
        <v>0</v>
      </c>
      <c r="D41" s="243">
        <f t="array" ref="D41">SUM(VLOOKUP(GIS!A81,GIS!$A$69:$M$87,{7},FALSE)+VLOOKUP(GIS!A106,GIS!$A$94:$M$112,{7},FALSE)+VLOOKUP(GIS!A156,GIS!$A$144:$M$162,{7},FALSE)+VLOOKUP(GIS!A181,GIS!$A$169:$M$187,{7},FALSE)+VLOOKUP(GIS!A206,GIS!$A$194:$M$212,{7},FALSE))</f>
        <v>0</v>
      </c>
      <c r="E41" s="243">
        <f t="array" ref="E41">SUM(VLOOKUP(GIS!A131,GIS!$A$119:$M$137, {2,4,6,8,10,12}, FALSE))</f>
        <v>0</v>
      </c>
      <c r="G41" s="243"/>
      <c r="H41" s="243">
        <f>B41+C41+D41-E41</f>
        <v>0</v>
      </c>
    </row>
    <row r="42" spans="1:8">
      <c r="A42" s="201" t="s">
        <v>2681</v>
      </c>
      <c r="B42" s="243">
        <f t="array" ref="B42">SUM(VLOOKUP(GIS!A80,GIS!$A$69:$M$87,{6},FALSE)+VLOOKUP(GIS!A106,GIS!$A$94:$M$112,{6},FALSE)+VLOOKUP(GIS!A156,GIS!$A$144:$M$162,{6},FALSE)+VLOOKUP(GIS!A181,GIS!$A$169:$M$187,{6},FALSE)+VLOOKUP(GIS!A205,GIS!$A$194:$M$212,{6},FALSE)+VLOOKUP(GIS!A85,GIS!$A$69:$M$87,{6},FALSE)+VLOOKUP(GIS!A110,GIS!$A$94:$M$112,{6},FALSE)+VLOOKUP(GIS!A160,GIS!$A$144:$M$162,{6},FALSE)+VLOOKUP(GIS!A185,GIS!$A$169:$M$187,{6},FALSE)+VLOOKUP(GIS!A210,GIS!$A$194:$M$212,{6},FALSE))*F42</f>
        <v>762700.49002259644</v>
      </c>
      <c r="C42" s="243">
        <f t="array" ref="C42">SUM(VLOOKUP(GIS!A230,GIS!$A$219:$M$237,{6},FALSE)+VLOOKUP(GIS!A256,GIS!$A$245:$M$263,{6},FALSE)+VLOOKUP(GIS!A282,GIS!$A$271:$M$289,{6},FALSE)+VLOOKUP(GIS!A235,GIS!$A$219:$M$237,{6},FALSE)+VLOOKUP(GIS!A261,GIS!$A$245:$M$263,{6},FALSE)+VLOOKUP(GIS!A287,GIS!$A$271:$M$289,{6},FALSE))*F42</f>
        <v>0</v>
      </c>
      <c r="D42" s="243">
        <f t="array" ref="D42">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42</f>
        <v>0</v>
      </c>
      <c r="E42" s="243">
        <f t="array" ref="E42">SUM(VLOOKUP(GIS!A130,GIS!$A$119:$M$137, {2,4,6,8,10,12}, FALSE)+VLOOKUP(GIS!A135,GIS!$A$119:$M$137, {2,4,6,8,10,12}, FALSE))*F42</f>
        <v>0</v>
      </c>
      <c r="F42" s="172">
        <f>'EIA Form 923'!E$2093</f>
        <v>0.55000353765651022</v>
      </c>
      <c r="G42" s="243"/>
      <c r="H42" s="243">
        <f t="shared" ref="H42:H47" si="0">B42+C42+D42-E42</f>
        <v>762700.49002259644</v>
      </c>
    </row>
    <row r="43" spans="1:8" ht="13">
      <c r="A43" s="199" t="s">
        <v>2434</v>
      </c>
      <c r="B43" s="243"/>
      <c r="C43" s="243"/>
      <c r="D43" s="243"/>
      <c r="E43" s="243"/>
      <c r="F43" s="172"/>
      <c r="G43" s="243"/>
      <c r="H43" s="243"/>
    </row>
    <row r="44" spans="1:8">
      <c r="A44" s="202" t="s">
        <v>396</v>
      </c>
      <c r="B44" s="243">
        <f t="array" ref="B44">SUM(VLOOKUP(GIS!A79,GIS!$A$69:$M$87,{6},FALSE)+VLOOKUP(GIS!A104,GIS!$A$94:$M$112,{6},FALSE)+VLOOKUP(GIS!A154,GIS!$A$144:$M$162,{6},FALSE)+VLOOKUP(GIS!A179,GIS!$A$169:$M$187,{6},FALSE)+VLOOKUP(GIS!A204,GIS!$A$194:$M$212,{6},FALSE))</f>
        <v>0</v>
      </c>
      <c r="C44" s="243">
        <f t="array" ref="C44">SUM(VLOOKUP(GIS!A229,GIS!$A$219:$M$237,{6},FALSE)+VLOOKUP(GIS!A255,GIS!$A$245:$M$263,{6},FALSE)+VLOOKUP(GIS!A281,GIS!$A$271:$M$289,{6},FALSE))</f>
        <v>0</v>
      </c>
      <c r="D44" s="243">
        <f t="array" ref="D44">SUM(VLOOKUP(GIS!A79,GIS!$A$69:$M$87,{7},FALSE)+VLOOKUP(GIS!A104,GIS!$A$94:$M$112,{7},FALSE)+VLOOKUP(GIS!A154,GIS!$A$144:$M$162,{7},FALSE)+VLOOKUP(GIS!A179,GIS!$A$169:$M$187,{7},FALSE)+VLOOKUP(GIS!A204,GIS!$A$194:$M$212,{7},FALSE))</f>
        <v>0</v>
      </c>
      <c r="E44" s="243">
        <f t="array" ref="E44">SUM(VLOOKUP(GIS!A129,GIS!$A$119:$M$137, {2,4,6,8,10,12}, FALSE))</f>
        <v>328753.32082320424</v>
      </c>
      <c r="F44" s="172"/>
      <c r="G44" s="243"/>
      <c r="H44" s="243">
        <f t="shared" si="0"/>
        <v>-328753.32082320424</v>
      </c>
    </row>
    <row r="45" spans="1:8">
      <c r="A45" s="202" t="s">
        <v>2682</v>
      </c>
      <c r="B45" s="243">
        <f t="array" ref="B45">SUM(VLOOKUP(GIS!A80,GIS!$A$69:$M$87,{6},FALSE)+VLOOKUP(GIS!A105,GIS!$A$94:$M$112,{6},FALSE)+VLOOKUP(GIS!A155,GIS!$A$144:$M$162,{6},FALSE)+VLOOKUP(GIS!A180,GIS!$A$169:$M$187,{6},FALSE)+VLOOKUP(GIS!A205,GIS!$A$194:$M$212,{6},FALSE)+VLOOKUP(GIS!A85,GIS!$A$69:$M$87,{6},FALSE)+VLOOKUP(GIS!A110,GIS!$A$94:$M$112,{6},FALSE)+VLOOKUP(GIS!A160,GIS!$A$144:$M$162,{6},FALSE)+VLOOKUP(GIS!A185,GIS!$A$169:$M$187,{6},FALSE)+VLOOKUP(GIS!A210,GIS!$A$194:$M$212,{6},FALSE))*F45</f>
        <v>624018.75413419353</v>
      </c>
      <c r="C45" s="243">
        <f t="array" ref="C45">SUM(VLOOKUP(GIS!A230,GIS!$A$219:$M$237,{6},FALSE)+VLOOKUP(GIS!A256,GIS!$A$245:$M$263,{6},FALSE)+VLOOKUP(GIS!A282,GIS!$A$271:$M$289,{6},FALSE)+VLOOKUP(GIS!A235,GIS!$A$219:$M$237,{6},FALSE)+VLOOKUP(GIS!A261,GIS!$A$245:$M$263,{6},FALSE)+VLOOKUP(GIS!A287,GIS!$A$271:$M$289,{6},FALSE))*F45</f>
        <v>0</v>
      </c>
      <c r="D45" s="243">
        <f t="array" ref="D45">SUM(VLOOKUP(GIS!A80,GIS!$A$69:$M$87,{7},FALSE)+VLOOKUP(GIS!A105,GIS!$A$94:$M$112,{7},FALSE)+VLOOKUP(GIS!A155,GIS!$A$144:$M$162,{7},FALSE)+VLOOKUP(GIS!A180,GIS!$A$169:$M$187,{7},FALSE)+VLOOKUP(GIS!A205,GIS!$A$194:$M$212,{7},FALSE)+VLOOKUP(GIS!A85,GIS!$A$69:$M$87,{7},FALSE)+VLOOKUP(GIS!A110,GIS!$A$94:$M$112,{7},FALSE)+VLOOKUP(GIS!A160,GIS!$A$144:$M$162,{7},FALSE)+VLOOKUP(GIS!A185,GIS!$A$169:$M$187,{7},FALSE)+VLOOKUP(GIS!A210,GIS!$A$194:$M$212,{7},FALSE))*F45</f>
        <v>0</v>
      </c>
      <c r="E45" s="243">
        <f t="array" ref="E45">SUM(VLOOKUP(GIS!A130,GIS!$A$119:$M$137, {2,4,6,8,10,12}, FALSE)+VLOOKUP(GIS!A135,GIS!$A$119:$M$137, {2,4,6,8,10,12}, FALSE))*F45</f>
        <v>0</v>
      </c>
      <c r="F45" s="172">
        <f>1-F42</f>
        <v>0.44999646234348978</v>
      </c>
      <c r="G45" s="243"/>
      <c r="H45" s="243">
        <f t="shared" si="0"/>
        <v>624018.75413419353</v>
      </c>
    </row>
    <row r="46" spans="1:8">
      <c r="A46" s="202" t="s">
        <v>2683</v>
      </c>
      <c r="B46" s="243">
        <f t="array" ref="B46">SUM(VLOOKUP(GIS!A70,GIS!$A$69:$M$87,{6},FALSE)+VLOOKUP(GIS!A95,GIS!$A$94:$M$112,{6},FALSE)+VLOOKUP(GIS!A145,GIS!$A$144:$M$162,{6},FALSE)+VLOOKUP(GIS!A170,GIS!$A$169:$M$187,{6},FALSE)+VLOOKUP(GIS!A195,GIS!$A$194:$M$212,{6},FALSE)+VLOOKUP(GIS!A87,GIS!$A$69:$M$87,{6},FALSE)+VLOOKUP(GIS!A112,GIS!$A$94:$M$112,{6},FALSE)+VLOOKUP(GIS!A162,GIS!$A$144:$M$162,{6},FALSE)+VLOOKUP(GIS!A187,GIS!$A$169:$M$187,{6},FALSE)+VLOOKUP(GIS!A212,GIS!$A$194:$M$212,{6},FALSE))</f>
        <v>2126.1019230959814</v>
      </c>
      <c r="C46" s="243">
        <f t="array" ref="C46">SUM(VLOOKUP(GIS!A220,GIS!$A$219:$M$237,{6},FALSE)+VLOOKUP(GIS!A246,GIS!$A$245:$M$263,{6},FALSE)+VLOOKUP(GIS!A272,GIS!$A$271:$M$289,{6},FALSE)+VLOOKUP(GIS!A237,GIS!$A$219:$M$237,{6},FALSE)+VLOOKUP(GIS!A263,GIS!$A$245:$M$263,{6},FALSE)+VLOOKUP(GIS!A289,GIS!$A$271:$M$289,{6},FALSE))</f>
        <v>1192540.9542031346</v>
      </c>
      <c r="D46" s="243">
        <f t="array" ref="D46">SUM(VLOOKUP(GIS!A70,GIS!$A$69:$M$87,{7},FALSE)+VLOOKUP(GIS!A95,GIS!$A$94:$M$112,{7},FALSE)+VLOOKUP(GIS!A145,GIS!$A$144:$M$162,{7},FALSE)+VLOOKUP(GIS!A170,GIS!$A$169:$M$187,{7},FALSE)+VLOOKUP(GIS!A195,GIS!$A$194:$M$212,{7},FALSE)+VLOOKUP(GIS!A87,GIS!$A$69:$M$87,{7},FALSE)+VLOOKUP(GIS!A112,GIS!$A$94:$M$112,{7},FALSE)+VLOOKUP(GIS!A162,GIS!$A$144:$M$162,{7},FALSE)+VLOOKUP(GIS!A187,GIS!$A$169:$M$187,{7},FALSE)+VLOOKUP(GIS!A212,GIS!$A$194:$M$212,{7},FALSE))</f>
        <v>0</v>
      </c>
      <c r="E46" s="243">
        <f t="array" ref="E46">SUM(VLOOKUP(GIS!A120,GIS!$A$119:$M$137, {2,4,6,8,10,12}, FALSE)+VLOOKUP(GIS!A137,GIS!$A$119:$M$137, {2,4,6,8,10,12}, FALSE))</f>
        <v>8130375.5147888474</v>
      </c>
      <c r="G46" s="243"/>
      <c r="H46" s="243">
        <f t="shared" si="0"/>
        <v>-6935708.458662617</v>
      </c>
    </row>
    <row r="47" spans="1:8">
      <c r="A47" s="203" t="s">
        <v>2425</v>
      </c>
      <c r="B47" s="243">
        <f t="array" ref="B47">SUM(VLOOKUP(GIS!A69,GIS!$A$69:$M$87,{6},FALSE)+VLOOKUP(GIS!A94,GIS!$A$94:$M$112,{6},FALSE)+VLOOKUP(GIS!A144,GIS!$A$144:$M$162,{6},FALSE)+VLOOKUP(GIS!A169,GIS!$A$169:$M$187,{6},FALSE)+VLOOKUP(GIS!A194,GIS!$A$194:$M$212,{6},FALSE)+VLOOKUP(GIS!A73,GIS!$A$69:$M$87,{6},FALSE)+VLOOKUP(GIS!A98,GIS!$A$94:$M$112,{6},FALSE)+VLOOKUP(GIS!A148,GIS!$A$144:$M$162,{6},FALSE)+VLOOKUP(GIS!A173,GIS!$A$169:$M$187,{6},FALSE)+VLOOKUP(GIS!A195,GIS!$A$194:$M$212,{6},FALSE))</f>
        <v>0</v>
      </c>
      <c r="C47" s="243">
        <f t="array" ref="C47">SUM(VLOOKUP(GIS!A219,GIS!$A$219:$M$237,{6},FALSE)+VLOOKUP(GIS!A245,GIS!$A$245:$M$263,{6},FALSE)+VLOOKUP(GIS!A271,GIS!$A$271:$M$289,{6},FALSE)+VLOOKUP(GIS!A223,GIS!$A$219:$M$237,{6},FALSE)+VLOOKUP(GIS!A249,GIS!$A$245:$M$263,{6},FALSE)+VLOOKUP(GIS!A275,GIS!$A$271:$M$289,{6},FALSE))</f>
        <v>0</v>
      </c>
      <c r="D47" s="243">
        <f t="array" ref="D47">SUM(VLOOKUP(GIS!A69,GIS!$A$69:$M$87,{7},FALSE)+VLOOKUP(GIS!A94,GIS!$A$94:$M$112,{7},FALSE)+VLOOKUP(GIS!A144,GIS!$A$144:$M$162,{7},FALSE)+VLOOKUP(GIS!A169,GIS!$A$169:$M$187,{7},FALSE)+VLOOKUP(GIS!A194,GIS!$A$194:$M$212,{7},FALSE)+VLOOKUP(GIS!A73,GIS!$A$69:$M$87,{7},FALSE)+VLOOKUP(GIS!A98,GIS!$A$94:$M$112,{7},FALSE)+VLOOKUP(GIS!A148,GIS!$A$144:$M$162,{7},FALSE)+VLOOKUP(GIS!A173,GIS!$A$169:$M$187,{7},FALSE)+VLOOKUP(GIS!A198,GIS!$A$194:$M$212,{7},FALSE))</f>
        <v>0</v>
      </c>
      <c r="E47" s="243">
        <f t="array" ref="E47">SUM(VLOOKUP(GIS!A119,GIS!$A$119:$M$137, {2,4,6,8,10,12}, FALSE)+VLOOKUP(GIS!A123,GIS!$A$119:$M$137, {2,4,6,8,10,12}, FALSE))</f>
        <v>160617.87105797729</v>
      </c>
      <c r="G47" s="243"/>
      <c r="H47" s="243">
        <f t="shared" si="0"/>
        <v>-160617.87105797729</v>
      </c>
    </row>
    <row r="48" spans="1:8">
      <c r="A48" s="198"/>
    </row>
    <row r="49" spans="1:8" ht="13">
      <c r="A49" s="197" t="s">
        <v>2437</v>
      </c>
      <c r="B49" s="696"/>
      <c r="C49" s="696"/>
      <c r="D49" s="696"/>
      <c r="E49" s="696"/>
      <c r="F49" s="696"/>
    </row>
    <row r="50" spans="1:8" ht="39">
      <c r="A50" s="199" t="s">
        <v>2432</v>
      </c>
      <c r="B50" s="226" t="s">
        <v>2707</v>
      </c>
      <c r="C50" s="226" t="s">
        <v>2709</v>
      </c>
      <c r="D50" s="226" t="s">
        <v>2708</v>
      </c>
      <c r="E50" s="226" t="s">
        <v>2710</v>
      </c>
      <c r="F50" s="226" t="s">
        <v>2684</v>
      </c>
      <c r="G50" s="226" t="s">
        <v>2715</v>
      </c>
      <c r="H50" s="226" t="s">
        <v>2712</v>
      </c>
    </row>
    <row r="51" spans="1:8" ht="13">
      <c r="A51" s="89" t="s">
        <v>2433</v>
      </c>
      <c r="H51" s="243"/>
    </row>
    <row r="52" spans="1:8">
      <c r="A52" s="201" t="s">
        <v>2686</v>
      </c>
      <c r="B52" s="243">
        <f t="array" ref="B52">SUM(VLOOKUP(GIS!A72,GIS!$A$69:$M$87,{8},FALSE)+VLOOKUP(GIS!A97,GIS!$A$94:$M$112,{8},FALSE)+VLOOKUP(GIS!A122,GIS!$A$119:$M$137,{8},FALSE)+VLOOKUP(GIS!A172,GIS!$A$169:$M$187,{8},FALSE)+VLOOKUP(GIS!A197,GIS!$A$194:$M$212,{8},FALSE)+VLOOKUP(GIS!A83,GIS!$A$69:$M$87,{8},FALSE)+VLOOKUP(GIS!A108,GIS!$A$94:$M$112,{8},FALSE)+VLOOKUP(GIS!A133,GIS!$A$119:$M$137,{8},FALSE)+VLOOKUP(GIS!A183,GIS!$A$169:$M$187,{8},FALSE)+VLOOKUP(GIS!A208,GIS!$A$194:$M$212,{8},FALSE))</f>
        <v>1887.1123509294575</v>
      </c>
      <c r="C52" s="243">
        <f t="array" ref="C52">SUM(VLOOKUP(GIS!A222,GIS!$A$219:$M$237,{8},FALSE)+VLOOKUP(GIS!A248,GIS!$A$245:$M$263,{8},FALSE)+VLOOKUP(GIS!A274,GIS!$A$271:$M$289,{8},FALSE)+VLOOKUP(GIS!A233,GIS!$A$219:$M$237,{8},FALSE)+VLOOKUP(GIS!A259,GIS!$A$245:$M$263,{8},FALSE)+VLOOKUP(GIS!A285,GIS!$A$271:$M$289,{8},FALSE))</f>
        <v>0</v>
      </c>
      <c r="D52" s="243">
        <f t="array" ref="D52">SUM(VLOOKUP(GIS!A72,GIS!$A$69:$M$87,{9},FALSE)+VLOOKUP(GIS!A97,GIS!$A$94:$M$112,{9},FALSE)+VLOOKUP(GIS!A122,GIS!$A$119:$M$137,{9},FALSE)+VLOOKUP(GIS!A172,GIS!$A$169:$M$187,{9},FALSE)+VLOOKUP(GIS!A197,GIS!$A$194:$M$212,{9},FALSE)+VLOOKUP(GIS!A83,GIS!$A$69:$M$87,{9},FALSE)+VLOOKUP(GIS!A108,GIS!$A$94:$M$112,{9},FALSE)+VLOOKUP(GIS!A133,GIS!$A$119:$M$137,{9},FALSE)+VLOOKUP(GIS!A183,GIS!$A$169:$M$187,{9},FALSE)+VLOOKUP(GIS!A208,GIS!$A$194:$M$212,{9},FALSE))</f>
        <v>0</v>
      </c>
      <c r="E52" s="243">
        <f t="array" ref="E52">SUM(VLOOKUP(GIS!A147,GIS!$A$144:$M$162, {2,4,6,8,10,12}, FALSE)+VLOOKUP(GIS!A158,GIS!$A$144:$M$162, {2,4,6,8,10,12}, FALSE))</f>
        <v>0</v>
      </c>
      <c r="F52" s="697"/>
      <c r="G52" s="243"/>
      <c r="H52" s="243">
        <f>B52+C52+D52-E52</f>
        <v>1887.1123509294575</v>
      </c>
    </row>
    <row r="53" spans="1:8">
      <c r="A53" s="201" t="s">
        <v>388</v>
      </c>
      <c r="B53" s="243">
        <f t="array" ref="B53">SUM(VLOOKUP(GIS!A81,GIS!$A$69:$M$87,{8},FALSE)+VLOOKUP(GIS!A106,GIS!$A$94:$M$112,{8},FALSE)+VLOOKUP(GIS!A131,GIS!$A$119:$M$137,{8},FALSE)+VLOOKUP(GIS!A181,GIS!$A$169:$M$187,{8},FALSE)+VLOOKUP(GIS!A206,GIS!$A$194:$M$212,{8},FALSE))</f>
        <v>8126.3639306744035</v>
      </c>
      <c r="C53" s="243">
        <f t="array" ref="C53">SUM(VLOOKUP(GIS!A231,GIS!$A$219:$M$237,{8},FALSE)+VLOOKUP(GIS!A257,GIS!$A$245:$M$263,{8},FALSE)+VLOOKUP(GIS!A283,GIS!$A$271:$M$289,{8},FALSE))</f>
        <v>0</v>
      </c>
      <c r="D53" s="243">
        <f t="array" ref="D53">SUM(VLOOKUP(GIS!A81,GIS!$A$69:$M$87,{9},FALSE)+VLOOKUP(GIS!A106,GIS!$A$94:$M$112,{9},FALSE)+VLOOKUP(GIS!A131,GIS!$A$119:$M$137,{9},FALSE)+VLOOKUP(GIS!A181,GIS!$A$169:$M$187,{9},FALSE)+VLOOKUP(GIS!A206,GIS!$A$194:$M$212,{9},FALSE))</f>
        <v>0</v>
      </c>
      <c r="E53" s="243">
        <f t="array" ref="E53">SUM(VLOOKUP(GIS!A156,GIS!$A$144:$M$162, {2,4,6,8,10,12}, FALSE))</f>
        <v>0</v>
      </c>
      <c r="G53" s="243"/>
      <c r="H53" s="243">
        <f t="shared" ref="H53:H59" si="1">B53+C53+D53-E53</f>
        <v>8126.3639306744035</v>
      </c>
    </row>
    <row r="54" spans="1:8">
      <c r="A54" s="201" t="s">
        <v>2681</v>
      </c>
      <c r="B54" s="243">
        <f t="array" ref="B54">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54</f>
        <v>0</v>
      </c>
      <c r="C54" s="243">
        <f t="array" ref="C54">SUM(VLOOKUP(GIS!A230,GIS!$A$219:$M$237,{8},FALSE)+VLOOKUP(GIS!A256,GIS!$A$245:$M$263,{8},FALSE)+VLOOKUP(GIS!A282,GIS!$A$271:$M$289,{8},FALSE)+VLOOKUP(GIS!A235,GIS!$A$219:$M$237,{8},FALSE)+VLOOKUP(GIS!A261,GIS!$A$245:$M$263,{8},FALSE)+VLOOKUP(GIS!A287,GIS!$A$271:$M$289,{8},FALSE))*F54</f>
        <v>0</v>
      </c>
      <c r="D54" s="243">
        <f t="array" ref="D54">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54</f>
        <v>0</v>
      </c>
      <c r="E54" s="243">
        <f t="array" ref="E54">SUM(VLOOKUP(GIS!A155,GIS!$A$144:$M$162, {2,4,6,8,10,12}, FALSE)+VLOOKUP(GIS!A160,GIS!$A$144:$M$162, {2,4,6,8,10,12}, FALSE))*F54</f>
        <v>762700.49002259644</v>
      </c>
      <c r="F54" s="172">
        <f>'EIA Form 923'!E$2093</f>
        <v>0.55000353765651022</v>
      </c>
      <c r="G54" s="243"/>
      <c r="H54" s="243">
        <f t="shared" si="1"/>
        <v>-762700.49002259644</v>
      </c>
    </row>
    <row r="55" spans="1:8" ht="13">
      <c r="A55" s="199" t="s">
        <v>2434</v>
      </c>
      <c r="B55" s="243"/>
      <c r="C55" s="243"/>
      <c r="D55" s="243"/>
      <c r="E55" s="243"/>
      <c r="F55" s="172"/>
      <c r="G55" s="243"/>
      <c r="H55" s="243"/>
    </row>
    <row r="56" spans="1:8">
      <c r="A56" s="202" t="s">
        <v>396</v>
      </c>
      <c r="B56" s="243">
        <f t="array" ref="B56">SUM(VLOOKUP(GIS!A79,GIS!$A$69:$M$87,{8},FALSE)+VLOOKUP(GIS!A104,GIS!$A$94:$M$112,{8},FALSE)+VLOOKUP(GIS!A129,GIS!$A$119:$M$137,{8},FALSE)+VLOOKUP(GIS!A179,GIS!$A$169:$M$187,{8},FALSE)+VLOOKUP(GIS!A204,GIS!$A$194:$M$212,{8},FALSE))</f>
        <v>728589.4028700646</v>
      </c>
      <c r="C56" s="243">
        <f t="array" ref="C56">SUM(VLOOKUP(GIS!A229,GIS!$A$219:$M$237,{8},FALSE)+VLOOKUP(GIS!A255,GIS!$A$245:$M$263,{8},FALSE)+VLOOKUP(GIS!A281,GIS!$A$271:$M$289,{8},FALSE))</f>
        <v>2088721.3412516108</v>
      </c>
      <c r="D56" s="243">
        <f t="array" ref="D56">SUM(VLOOKUP(GIS!A79,GIS!$A$69:$M$87,{9},FALSE)+VLOOKUP(GIS!A104,GIS!$A$94:$M$112,{9},FALSE)+VLOOKUP(GIS!A129,GIS!$A$119:$M$137,{9},FALSE)+VLOOKUP(GIS!A179,GIS!$A$169:$M$187,{9},FALSE)+VLOOKUP(GIS!A204,GIS!$A$194:$M$212,{9},FALSE))</f>
        <v>369673.72678164934</v>
      </c>
      <c r="E56" s="243">
        <f t="array" ref="E56">SUM(VLOOKUP(GIS!A154,GIS!$A$144:$M$162, {2,4,6,8,10,12}, FALSE))</f>
        <v>68960.92511739023</v>
      </c>
      <c r="F56" s="172"/>
      <c r="G56" s="243"/>
      <c r="H56" s="243">
        <f t="shared" si="1"/>
        <v>3118023.5457859347</v>
      </c>
    </row>
    <row r="57" spans="1:8">
      <c r="A57" s="202" t="s">
        <v>2682</v>
      </c>
      <c r="B57" s="243">
        <f t="array" ref="B57">SUM(VLOOKUP(GIS!A80,GIS!$A$69:$M$87,{8},FALSE)+VLOOKUP(GIS!A105,GIS!$A$94:$M$112,{8},FALSE)+VLOOKUP(GIS!A130,GIS!$A$119:$M$137,{8},FALSE)+VLOOKUP(GIS!A180,GIS!$A$169:$M$187,{8},FALSE)+VLOOKUP(GIS!A205,GIS!$A$194:$M$212,{8},FALSE)+VLOOKUP(GIS!A85,GIS!$A$69:$M$87,{8},FALSE)+VLOOKUP(GIS!A110,GIS!$A$94:$M$112,{8},FALSE)+VLOOKUP(GIS!A135,GIS!$A$119:$M$137,{8},FALSE)+VLOOKUP(GIS!A185,GIS!$A$169:$M$187,{8},FALSE)+VLOOKUP(GIS!A210,GIS!$A$194:$M$212,{8},FALSE))*F57</f>
        <v>0</v>
      </c>
      <c r="C57" s="243">
        <f t="array" ref="C57">SUM(VLOOKUP(GIS!A230,GIS!$A$219:$M$237,{8},FALSE)+VLOOKUP(GIS!A256,GIS!$A$245:$M$263,{8},FALSE)+VLOOKUP(GIS!A282,GIS!$A$271:$M$289,{8},FALSE)+VLOOKUP(GIS!A235,GIS!$A$219:$M$237,{8},FALSE)+VLOOKUP(GIS!A261,GIS!$A$245:$M$263,{8},FALSE)+VLOOKUP(GIS!A287,GIS!$A$271:$M$289,{8},FALSE))*F57</f>
        <v>0</v>
      </c>
      <c r="D57" s="243">
        <f t="array" ref="D57">SUM(VLOOKUP(GIS!A80,GIS!$A$69:$M$87,{9},FALSE)+VLOOKUP(GIS!A105,GIS!$A$94:$M$112,{9},FALSE)+VLOOKUP(GIS!A130,GIS!$A$119:$M$137,{9},FALSE)+VLOOKUP(GIS!A180,GIS!$A$169:$M$187,{9},FALSE)+VLOOKUP(GIS!A205,GIS!$A$194:$M$212,{9},FALSE)+VLOOKUP(GIS!A85,GIS!$A$69:$M$87,{9},FALSE)+VLOOKUP(GIS!A110,GIS!$A$94:$M$112,{9},FALSE)+VLOOKUP(GIS!A135,GIS!$A$119:$M$137,{9},FALSE)+VLOOKUP(GIS!A185,GIS!$A$169:$M$187,{9},FALSE)+VLOOKUP(GIS!A210,GIS!$A$194:$M$212,{9},FALSE))*F57</f>
        <v>0</v>
      </c>
      <c r="E57" s="243">
        <f t="array" ref="E57">SUM(VLOOKUP(GIS!A155,GIS!$A$144:$M$162, {2,4,6,8,10,12}, FALSE)+VLOOKUP(GIS!A160,GIS!$A$144:$M$162, {2,4,6,8,10,12}, FALSE))*F57</f>
        <v>624018.75413419353</v>
      </c>
      <c r="F57" s="172">
        <f>1-F54</f>
        <v>0.44999646234348978</v>
      </c>
      <c r="G57" s="243"/>
      <c r="H57" s="243">
        <f t="shared" si="1"/>
        <v>-624018.75413419353</v>
      </c>
    </row>
    <row r="58" spans="1:8">
      <c r="A58" s="202" t="s">
        <v>2683</v>
      </c>
      <c r="B58" s="243">
        <f t="array" ref="B58">SUM(VLOOKUP(GIS!A70,GIS!$A$69:$M$87,{8},FALSE)+VLOOKUP(GIS!A95,GIS!$A$94:$M$112,{8},FALSE)+VLOOKUP(GIS!A120,GIS!$A$119:$M$137,{8},FALSE)+VLOOKUP(GIS!A170,GIS!$A$169:$M$187,{8},FALSE)+VLOOKUP(GIS!A195,GIS!$A$194:$M$212,{8},FALSE)+VLOOKUP(GIS!A87,GIS!$A$69:$M$87,{8},FALSE)+VLOOKUP(GIS!A112,GIS!$A$94:$M$112,{8},FALSE)+VLOOKUP(GIS!A137,GIS!$A$119:$M$137,{8},FALSE)+VLOOKUP(GIS!A187,GIS!$A$169:$M$187,{8},FALSE)+VLOOKUP(GIS!A212,GIS!$A$194:$M$212,{8},FALSE))</f>
        <v>3190739.9484020788</v>
      </c>
      <c r="C58" s="243">
        <f t="array" ref="C58">SUM(VLOOKUP(GIS!A220,GIS!$A$219:$M$237,{8},FALSE)+VLOOKUP(GIS!A246,GIS!$A$245:$M$263,{8},FALSE)+VLOOKUP(GIS!A272,GIS!$A$271:$M$289,{8},FALSE)+VLOOKUP(GIS!A237,GIS!$A$219:$M$237,{8},FALSE)+VLOOKUP(GIS!A263,GIS!$A$245:$M$263,{8},FALSE)+VLOOKUP(GIS!A289,GIS!$A$271:$M$289,{8},FALSE))</f>
        <v>0</v>
      </c>
      <c r="D58" s="243">
        <f t="array" ref="D58">SUM(VLOOKUP(GIS!A70,GIS!$A$69:$M$87,{9},FALSE)+VLOOKUP(GIS!A95,GIS!$A$94:$M$112,{9},FALSE)+VLOOKUP(GIS!A120,GIS!$A$119:$M$137,{9},FALSE)+VLOOKUP(GIS!A170,GIS!$A$169:$M$187,{9},FALSE)+VLOOKUP(GIS!A195,GIS!$A$194:$M$212,{9},FALSE)+VLOOKUP(GIS!A87,GIS!$A$69:$M$87,{9},FALSE)+VLOOKUP(GIS!A112,GIS!$A$94:$M$112,{9},FALSE)+VLOOKUP(GIS!A137,GIS!$A$119:$M$137,{9},FALSE)+VLOOKUP(GIS!A187,GIS!$A$169:$M$187,{9},FALSE)+VLOOKUP(GIS!A212,GIS!$A$194:$M$212,{9},FALSE))</f>
        <v>4418.8091336708094</v>
      </c>
      <c r="E58" s="243">
        <f t="array" ref="E58">SUM(VLOOKUP(GIS!A145,GIS!$A$144:$M$162, {2,4,6,8,10,12}, FALSE)+VLOOKUP(GIS!A162,GIS!$A$144:$M$162, {2,4,6,8,10,12}, FALSE))</f>
        <v>8342262.0478632422</v>
      </c>
      <c r="G58" s="243"/>
      <c r="H58" s="243">
        <f t="shared" si="1"/>
        <v>-5147103.2903274931</v>
      </c>
    </row>
    <row r="59" spans="1:8">
      <c r="A59" s="203" t="s">
        <v>2425</v>
      </c>
      <c r="B59" s="243">
        <f t="array" ref="B59">SUM(VLOOKUP(GIS!A69,GIS!$A$69:$M$87,{8},FALSE)+VLOOKUP(GIS!A94,GIS!$A$94:$M$112,{8},FALSE)+VLOOKUP(GIS!A119,GIS!$A$119:$M$137,{8},FALSE)+VLOOKUP(GIS!A169,GIS!$A$169:$M$187,{8},FALSE)+VLOOKUP(GIS!A194,GIS!$A$194:$M$212,{8},FALSE)+VLOOKUP(GIS!A73,GIS!$A$69:$M$87,{8},FALSE)+VLOOKUP(GIS!A98,GIS!$A$94:$M$112,{8},FALSE)+VLOOKUP(GIS!A123,GIS!$A$119:$M$137,{8},FALSE)+VLOOKUP(GIS!A173,GIS!$A$169:$M$187,{8},FALSE)+VLOOKUP(GIS!A198,GIS!$A$194:$M$212,{8},FALSE))</f>
        <v>0</v>
      </c>
      <c r="C59" s="243">
        <f t="array" ref="C59">SUM(VLOOKUP(GIS!A219,GIS!$A$219:$M$237,{8},FALSE)+VLOOKUP(GIS!A245,GIS!$A$245:$M$263,{8},FALSE)+VLOOKUP(GIS!A271,GIS!$A$271:$M$289,{8},FALSE)+VLOOKUP(GIS!A223,GIS!$A$219:$M$237,{8},FALSE)+VLOOKUP(GIS!A249,GIS!$A$245:$M$263,{8},FALSE)+VLOOKUP(GIS!A275,GIS!$A$271:$M$289,{8},FALSE))</f>
        <v>0</v>
      </c>
      <c r="D59" s="243">
        <f t="array" ref="D59">SUM(VLOOKUP(GIS!A69,GIS!$A$69:$M$87,{9},FALSE)+VLOOKUP(GIS!A94,GIS!$A$94:$M$112,{9},FALSE)+VLOOKUP(GIS!A119,GIS!$A$119:$M$137,{9},FALSE)+VLOOKUP(GIS!A169,GIS!$A$169:$M$187,{9},FALSE)+VLOOKUP(GIS!A194,GIS!$A$194:$M$212,{9},FALSE)+VLOOKUP(GIS!A73,GIS!$A$69:$M$87,{9},FALSE)+VLOOKUP(GIS!A98,GIS!$A$94:$M$112,{9},FALSE)+VLOOKUP(GIS!A123,GIS!$A$119:$M$137,{9},FALSE)+VLOOKUP(GIS!A173,GIS!$A$169:$M$187,{9},FALSE)+VLOOKUP(GIS!A198,GIS!$A$194:$M$212,{9},FALSE))</f>
        <v>76680.313106540474</v>
      </c>
      <c r="E59" s="243">
        <f t="array" ref="E59">SUM(VLOOKUP(GIS!A144,GIS!$A$144:$M$162, {2,4,6,8,10,12}, FALSE)+VLOOKUP(GIS!A148,GIS!$A$144:$M$162, {2,4,6,8,10,12}, FALSE))</f>
        <v>0</v>
      </c>
      <c r="G59" s="243"/>
      <c r="H59" s="243">
        <f t="shared" si="1"/>
        <v>76680.313106540474</v>
      </c>
    </row>
    <row r="61" spans="1:8" ht="13">
      <c r="A61" s="197" t="s">
        <v>2438</v>
      </c>
      <c r="B61" s="696"/>
      <c r="C61" s="696"/>
      <c r="D61" s="696"/>
      <c r="E61" s="696"/>
      <c r="F61" s="696"/>
    </row>
    <row r="62" spans="1:8" ht="39">
      <c r="A62" s="199" t="s">
        <v>2432</v>
      </c>
      <c r="B62" s="226" t="s">
        <v>2707</v>
      </c>
      <c r="C62" s="226" t="s">
        <v>2709</v>
      </c>
      <c r="D62" s="226" t="s">
        <v>2708</v>
      </c>
      <c r="E62" s="226" t="s">
        <v>2710</v>
      </c>
      <c r="F62" s="226" t="s">
        <v>2684</v>
      </c>
      <c r="G62" s="226" t="s">
        <v>2715</v>
      </c>
      <c r="H62" s="226" t="s">
        <v>2712</v>
      </c>
    </row>
    <row r="63" spans="1:8" ht="13">
      <c r="A63" s="89" t="s">
        <v>2433</v>
      </c>
      <c r="H63" s="243"/>
    </row>
    <row r="64" spans="1:8">
      <c r="A64" s="201" t="s">
        <v>2686</v>
      </c>
      <c r="B64" s="243">
        <f t="array" ref="B64">SUM(VLOOKUP(GIS!A72,GIS!$A$69:$M$87,{10},FALSE)+VLOOKUP(GIS!A97,GIS!$A$94:$M$112,{10},FALSE)+VLOOKUP(GIS!A122,GIS!$A$119:$M$137,{10},FALSE)+VLOOKUP(GIS!A147,GIS!$A$144:$M$162,{10},FALSE)+VLOOKUP(GIS!A197,GIS!$A$194:$M$212,{10},FALSE)+VLOOKUP(GIS!A83,GIS!$A$69:$M$87,{10},FALSE)+VLOOKUP(GIS!A108,GIS!$A$94:$M$112,{10},FALSE)+VLOOKUP(GIS!A133,GIS!$A$119:$M$137,{10},FALSE)+VLOOKUP(GIS!A158,GIS!$A$144:$M$162,{10},FALSE)+VLOOKUP(GIS!A208,GIS!$A$194:$M$212,{10},FALSE))</f>
        <v>0</v>
      </c>
      <c r="C64" s="243">
        <f t="array" ref="C64">SUM(VLOOKUP(GIS!A222,GIS!$A$219:$M$237,{10},FALSE)+VLOOKUP(GIS!A248,GIS!$A$245:$M$263,{10},FALSE)+VLOOKUP(GIS!A274,GIS!$A$271:$M$289,{10},FALSE)+VLOOKUP(GIS!A233,GIS!$A$219:$M$237,{10},FALSE)+VLOOKUP(GIS!A259,GIS!$A$245:$M$263,{10},FALSE)+VLOOKUP(GIS!A285,GIS!$A$271:$M$289,{10},FALSE))</f>
        <v>0</v>
      </c>
      <c r="D64" s="243">
        <f t="array" ref="D64">SUM(VLOOKUP(GIS!A72,GIS!$A$69:$M$87,{11},FALSE)+VLOOKUP(GIS!A97,GIS!$A$94:$M$112,{11},FALSE)+VLOOKUP(GIS!A122,GIS!$A$119:$M$137,{11},FALSE)+VLOOKUP(GIS!A147,GIS!$A$144:$M$162,{11},FALSE)+VLOOKUP(GIS!A197,GIS!$A$194:$M$212,{11},FALSE)+VLOOKUP(GIS!A83,GIS!$A$69:$M$87,{11},FALSE)+VLOOKUP(GIS!A108,GIS!$A$94:$M$112,{11},FALSE)+VLOOKUP(GIS!A133,GIS!$A$119:$M$137,{11},FALSE)+VLOOKUP(GIS!A158,GIS!$A$144:$M$162,{11},FALSE)+VLOOKUP(GIS!A208,GIS!$A$194:$M$212,{11},FALSE))</f>
        <v>0</v>
      </c>
      <c r="E64" s="243">
        <f t="array" ref="E64">SUM(VLOOKUP(GIS!A172,GIS!$A$169:$M$187, {2,4,6,8,10,12}, FALSE)+VLOOKUP(GIS!A183,GIS!$A$169:$M$187, {2,4,6,8,10,12}, FALSE))</f>
        <v>0</v>
      </c>
      <c r="F64" s="697"/>
      <c r="G64" s="243"/>
      <c r="H64" s="243">
        <f>B64+C64+D64-E64</f>
        <v>0</v>
      </c>
    </row>
    <row r="65" spans="1:8">
      <c r="A65" s="201" t="s">
        <v>388</v>
      </c>
      <c r="B65" s="243">
        <f t="array" ref="B65">SUM(VLOOKUP(GIS!A81,GIS!$A$69:$M$87,{10},FALSE)+VLOOKUP(GIS!A106,GIS!$A$94:$M$112,{10},FALSE)+VLOOKUP(GIS!A131,GIS!$A$119:$M$137,{10},FALSE)+VLOOKUP(GIS!A156,GIS!$A$144:$M$162,{10},FALSE)+VLOOKUP(GIS!A206,GIS!$A$194:$M$212,{10},FALSE))</f>
        <v>0</v>
      </c>
      <c r="C65" s="243">
        <f t="array" ref="C65">SUM(VLOOKUP(GIS!A231,GIS!$A$219:$M$237,{10},FALSE)+VLOOKUP(GIS!A257,GIS!$A$245:$M$263,{10},FALSE)+VLOOKUP(GIS!A283,GIS!$A$271:$M$289,{10},FALSE))</f>
        <v>0</v>
      </c>
      <c r="D65" s="243">
        <f t="array" ref="D65">SUM(VLOOKUP(GIS!A81,GIS!$A$69:$M$87,{11},FALSE)+VLOOKUP(GIS!A106,GIS!$A$94:$M$112,{11},FALSE)+VLOOKUP(GIS!A131,GIS!$A$119:$M$137,{11},FALSE)+VLOOKUP(GIS!A156,GIS!$A$144:$M$162,{11},FALSE)+VLOOKUP(GIS!A206,GIS!$A$194:$M$212,{11},FALSE))</f>
        <v>0</v>
      </c>
      <c r="E65" s="243">
        <f t="array" ref="E65">SUM(VLOOKUP(GIS!A181,GIS!$A$169:$M$187, {2,4,6,8,10,12}, FALSE))</f>
        <v>0</v>
      </c>
      <c r="G65" s="243"/>
      <c r="H65" s="243">
        <f>B65+C65+D65-E65</f>
        <v>0</v>
      </c>
    </row>
    <row r="66" spans="1:8">
      <c r="A66" s="201" t="s">
        <v>2681</v>
      </c>
      <c r="B66" s="243">
        <f t="array" ref="B66">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66</f>
        <v>0</v>
      </c>
      <c r="C66" s="243">
        <f t="array" ref="C66">SUM(VLOOKUP(GIS!A230,GIS!$A$219:$M$237,{10},FALSE)+VLOOKUP(GIS!A256,GIS!$A$245:$M$263,{10},FALSE)+VLOOKUP(GIS!A288,GIS!$A$271:$M$289,{10},FALSE)+VLOOKUP(GIS!A235,GIS!$A$219:$M$237,{10},FALSE)+VLOOKUP(GIS!A261,GIS!$A$245:$M$263,{10},FALSE)+VLOOKUP(GIS!A287,GIS!$A$271:$M$289,{10},FALSE))*F66</f>
        <v>0</v>
      </c>
      <c r="D66" s="243">
        <f t="array" ref="D66">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66</f>
        <v>0</v>
      </c>
      <c r="E66" s="243">
        <f t="array" ref="E66">SUM(VLOOKUP(GIS!A180,GIS!$A$169:$M$187, {2,4,6,8,10,12}, FALSE)+VLOOKUP(GIS!A185,GIS!$A$169:$M$187, {2,4,6,8,10,12}, FALSE))*F66</f>
        <v>0</v>
      </c>
      <c r="F66" s="172">
        <f>'EIA Form 923'!E$2093</f>
        <v>0.55000353765651022</v>
      </c>
      <c r="G66" s="243"/>
      <c r="H66" s="243">
        <f t="shared" ref="H66:H71" si="2">B66+C66+D66-E66</f>
        <v>0</v>
      </c>
    </row>
    <row r="67" spans="1:8" ht="13">
      <c r="A67" s="199" t="s">
        <v>2434</v>
      </c>
      <c r="B67" s="243"/>
      <c r="C67" s="243"/>
      <c r="D67" s="243"/>
      <c r="E67" s="243"/>
      <c r="F67" s="172"/>
      <c r="G67" s="243"/>
      <c r="H67" s="243"/>
    </row>
    <row r="68" spans="1:8">
      <c r="A68" s="202" t="s">
        <v>396</v>
      </c>
      <c r="B68" s="243">
        <f t="array" ref="B68">SUM(VLOOKUP(GIS!A79,GIS!$A$69:$M$87,{10},FALSE)+VLOOKUP(GIS!A104,GIS!$A$94:$M$112,{10},FALSE)+VLOOKUP(GIS!A129,GIS!$A$119:$M$137,{10},FALSE)+VLOOKUP(GIS!A154,GIS!$A$144:$M$162,{10},FALSE)+VLOOKUP(GIS!A204,GIS!$A$194:$M$212,{10},FALSE))</f>
        <v>0</v>
      </c>
      <c r="C68" s="243">
        <f t="array" ref="C68">SUM(VLOOKUP(GIS!A229,GIS!$A$219:$M$237,{10},FALSE)+VLOOKUP(GIS!A255,GIS!$A$245:$M$263,{10},FALSE)+VLOOKUP(GIS!A281,GIS!$A$271:$M$289,{10},FALSE))</f>
        <v>79910.811922236535</v>
      </c>
      <c r="D68" s="243">
        <f t="array" ref="D68">SUM(VLOOKUP(GIS!A79,GIS!$A$69:$M$87,{11},FALSE)+VLOOKUP(GIS!A104,GIS!$A$94:$M$112,{11},FALSE)+VLOOKUP(GIS!A129,GIS!$A$119:$M$137,{11},FALSE)+VLOOKUP(GIS!A154,GIS!$A$144:$M$162,{11},FALSE)+VLOOKUP(GIS!A204,GIS!$A$194:$M$212,{11},FALSE))</f>
        <v>0</v>
      </c>
      <c r="E68" s="243">
        <f t="array" ref="E68">SUM(VLOOKUP(GIS!A179,GIS!$A$169:$M$187, {2,4,6,8,10,12}, FALSE))</f>
        <v>0</v>
      </c>
      <c r="F68" s="172"/>
      <c r="G68" s="243"/>
      <c r="H68" s="243">
        <f t="shared" si="2"/>
        <v>79910.811922236535</v>
      </c>
    </row>
    <row r="69" spans="1:8">
      <c r="A69" s="202" t="s">
        <v>2682</v>
      </c>
      <c r="B69" s="243">
        <f t="array" ref="B69">SUM(VLOOKUP(GIS!A80,GIS!$A$69:$M$87,{10},FALSE)+VLOOKUP(GIS!A105,GIS!$A$94:$M$112,{10},FALSE)+VLOOKUP(GIS!A130,GIS!$A$119:$M$137,{10},FALSE)+VLOOKUP(GIS!A155,GIS!$A$144:$M$162,{10},FALSE)+VLOOKUP(GIS!A205,GIS!$A$194:$M$212,{10},FALSE)+VLOOKUP(GIS!A85,GIS!$A$69:$M$87,{10},FALSE)+VLOOKUP(GIS!A110,GIS!$A$94:$M$112,{10},FALSE)+VLOOKUP(GIS!A135,GIS!$A$119:$M$137,{10},FALSE)+VLOOKUP(GIS!A160,GIS!$A$144:$M$162,{10},FALSE)+VLOOKUP(GIS!A210,GIS!$A$194:$M$212,{10},FALSE))*F69</f>
        <v>0</v>
      </c>
      <c r="C69" s="243">
        <f t="array" ref="C69">SUM(VLOOKUP(GIS!A230,GIS!$A$219:$M$237,{10},FALSE)+VLOOKUP(GIS!A256,GIS!$A$245:$M$263,{10},FALSE)+VLOOKUP(GIS!A282,GIS!$A$271:$M$289,{10},FALSE)+VLOOKUP(GIS!A235,GIS!$A$219:$M$237,{10},FALSE)+VLOOKUP(GIS!A261,GIS!$A$245:$M$263,{10},FALSE)+VLOOKUP(GIS!A287,GIS!$A$271:$M$289,{10},FALSE))*F69</f>
        <v>0</v>
      </c>
      <c r="D69" s="243">
        <f t="array" ref="D69">SUM(VLOOKUP(GIS!A80,GIS!$A$69:$M$87,{11},FALSE)+VLOOKUP(GIS!A105,GIS!$A$94:$M$112,{11},FALSE)+VLOOKUP(GIS!A130,GIS!$A$119:$M$137,{11},FALSE)+VLOOKUP(GIS!A155,GIS!$A$144:$M$162,{11},FALSE)+VLOOKUP(GIS!A205,GIS!$A$194:$M$212,{11},FALSE)+VLOOKUP(GIS!A85,GIS!$A$69:$M$87,{11},FALSE)+VLOOKUP(GIS!A110,GIS!$A$94:$M$112,{11},FALSE)+VLOOKUP(GIS!A135,GIS!$A$119:$M$137,{11},FALSE)+VLOOKUP(GIS!A160,GIS!$A$144:$M$162,{11},FALSE)+VLOOKUP(GIS!A210,GIS!$A$194:$M$212,{11},FALSE))*F69</f>
        <v>0</v>
      </c>
      <c r="E69" s="243">
        <f t="array" ref="E69">SUM(VLOOKUP(GIS!A180,GIS!$A$169:$M$187, {2,4,6,8,10,12}, FALSE)+VLOOKUP(GIS!A185,GIS!$A$169:$M$187, {2,4,6,8,10,12}, FALSE))*F69</f>
        <v>0</v>
      </c>
      <c r="F69" s="172">
        <f>1-F66</f>
        <v>0.44999646234348978</v>
      </c>
      <c r="G69" s="243"/>
      <c r="H69" s="243">
        <f t="shared" si="2"/>
        <v>0</v>
      </c>
    </row>
    <row r="70" spans="1:8">
      <c r="A70" s="202" t="s">
        <v>2683</v>
      </c>
      <c r="B70" s="243">
        <f t="array" ref="B70">SUM(VLOOKUP(GIS!A70,GIS!$A$69:$M$87,{10},FALSE)+VLOOKUP(GIS!A95,GIS!$A$94:$M$112,{10},FALSE)+VLOOKUP(GIS!A120,GIS!$A$119:$M$137,{10},FALSE)+VLOOKUP(GIS!A145,GIS!$A$144:$M$162,{10},FALSE)+VLOOKUP(GIS!A195,GIS!$A$194:$M$212,{10},FALSE)+VLOOKUP(GIS!A87,GIS!$A$69:$M$87,{10},FALSE)+VLOOKUP(GIS!A112,GIS!$A$94:$M$112,{10},FALSE)+VLOOKUP(GIS!A137,GIS!$A$119:$M$137,{10},FALSE)+VLOOKUP(GIS!A162,GIS!$A$144:$M$162,{10},FALSE)+VLOOKUP(GIS!A212,GIS!$A$194:$M$212,{10},FALSE))</f>
        <v>1966387.7335294159</v>
      </c>
      <c r="C70" s="243">
        <f t="array" ref="C70">SUM(VLOOKUP(GIS!A220,GIS!$A$219:$M$237,{10},FALSE)+VLOOKUP(GIS!A246,GIS!$A$245:$M$263,{10},FALSE)+VLOOKUP(GIS!A272,GIS!$A$271:$M$289,{10},FALSE)+VLOOKUP(GIS!A237,GIS!$A$219:$M$237,{10},FALSE)+VLOOKUP(GIS!A263,GIS!$A$245:$M$263,{10},FALSE)+VLOOKUP(GIS!A289,GIS!$A$271:$M$289,{10},FALSE))</f>
        <v>0</v>
      </c>
      <c r="D70" s="243">
        <f t="array" ref="D70">SUM(VLOOKUP(GIS!A70,GIS!$A$69:$M$87,{11},FALSE)+VLOOKUP(GIS!A95,GIS!$A$94:$M$112,{11},FALSE)+VLOOKUP(GIS!A120,GIS!$A$119:$M$137,{11},FALSE)+VLOOKUP(GIS!A145,GIS!$A$144:$M$162,{11},FALSE)+VLOOKUP(GIS!A195,GIS!$A$194:$M$212,{11},FALSE)+VLOOKUP(GIS!A87,GIS!$A$69:$M$87,{11},FALSE)+VLOOKUP(GIS!A112,GIS!$A$94:$M$112,{11},FALSE)+VLOOKUP(GIS!A137,GIS!$A$119:$M$137,{11},FALSE)+VLOOKUP(GIS!A162,GIS!$A$144:$M$162,{11},FALSE)+VLOOKUP(GIS!A202,GIS!$A$194:$M$212,{11},FALSE))</f>
        <v>16850.415926523201</v>
      </c>
      <c r="E70" s="243">
        <f t="array" ref="E70">SUM(VLOOKUP(GIS!A170,GIS!$A$169:$M$187, {2,4,6,8,10,12}, FALSE)+VLOOKUP(GIS!A187,GIS!$A$169:$M$187, {2,4,6,8,10,12}, FALSE))</f>
        <v>0</v>
      </c>
      <c r="G70" s="243"/>
      <c r="H70" s="243">
        <f t="shared" si="2"/>
        <v>1983238.1494559392</v>
      </c>
    </row>
    <row r="71" spans="1:8">
      <c r="A71" s="203" t="s">
        <v>2425</v>
      </c>
      <c r="B71" s="243">
        <f t="array" ref="B71">SUM(VLOOKUP(GIS!A69,GIS!$A$69:$M$87,{10},FALSE)+VLOOKUP(GIS!A94,GIS!$A$94:$M$112,{10},FALSE)+VLOOKUP(GIS!A119,GIS!$A$119:$M$137,{10},FALSE)+VLOOKUP(GIS!A144,GIS!$A$144:$M$162,{10},FALSE)+VLOOKUP(GIS!A194,GIS!$A$194:$M$212,{10},FALSE)+VLOOKUP(GIS!A73,GIS!$A$69:$M$87,{10},FALSE)+VLOOKUP(GIS!A98,GIS!$A$94:$M$112,{10},FALSE)+VLOOKUP(GIS!A123,GIS!$A$119:$M$137,{10},FALSE)+VLOOKUP(GIS!A148,GIS!$A$144:$M$162,{10},FALSE)+VLOOKUP(GIS!A198,GIS!$A$194:$M$212,{10},FALSE))</f>
        <v>110390.28938692597</v>
      </c>
      <c r="C71" s="243">
        <f t="array" ref="C71">SUM(VLOOKUP(GIS!A219,GIS!$A$219:$M$237,{10},FALSE)+VLOOKUP(GIS!A245,GIS!$A$245:$M$263,{10},FALSE)+VLOOKUP(GIS!A271,GIS!$A$271:$M$289,{10},FALSE)+VLOOKUP(GIS!A223,GIS!$A$219:$M$237,{10},FALSE)+VLOOKUP(GIS!A249,GIS!$A$245:$M$263,{10},FALSE)+VLOOKUP(GIS!A275,GIS!$A$271:$M$289,{10},FALSE))</f>
        <v>0</v>
      </c>
      <c r="D71" s="243">
        <f t="array" ref="D71">SUM(VLOOKUP(GIS!A69,GIS!$A$69:$M$87,{11},FALSE)+VLOOKUP(GIS!A94,GIS!$A$94:$M$112,{11},FALSE)+VLOOKUP(GIS!A119,GIS!$A$119:$M$137,{11},FALSE)+VLOOKUP(GIS!A144,GIS!$A$144:$M$162,{11},FALSE)+VLOOKUP(GIS!A194,GIS!$A$194:$M$212,{11},FALSE)+VLOOKUP(GIS!A73,GIS!$A$69:$M$87,{11},FALSE)+VLOOKUP(GIS!A98,GIS!$A$94:$M$112,{11},FALSE)+VLOOKUP(GIS!A123,GIS!$A$119:$M$137,{11},FALSE)+VLOOKUP(GIS!A148,GIS!$A$144:$M$162,{11},FALSE)+VLOOKUP(GIS!A198,GIS!$A$194:$M$212,{11},FALSE))</f>
        <v>0</v>
      </c>
      <c r="E71" s="243">
        <f t="array" ref="E71">SUM(VLOOKUP(GIS!A169,GIS!$A$169:$M$187, {2,4,6,8,10,12}, FALSE)+VLOOKUP(GIS!A173,GIS!$A$169:$M$187, {2,4,6,8,10,12}, FALSE))</f>
        <v>0</v>
      </c>
      <c r="G71" s="243"/>
      <c r="H71" s="243">
        <f t="shared" si="2"/>
        <v>110390.28938692597</v>
      </c>
    </row>
    <row r="73" spans="1:8" ht="13">
      <c r="A73" s="197" t="s">
        <v>2439</v>
      </c>
      <c r="B73" s="696"/>
      <c r="C73" s="696"/>
      <c r="D73" s="696"/>
      <c r="E73" s="696"/>
      <c r="F73" s="696"/>
    </row>
    <row r="74" spans="1:8" ht="39">
      <c r="A74" s="199" t="s">
        <v>2432</v>
      </c>
      <c r="B74" s="226" t="s">
        <v>2707</v>
      </c>
      <c r="C74" s="226" t="s">
        <v>2709</v>
      </c>
      <c r="D74" s="226" t="s">
        <v>2708</v>
      </c>
      <c r="E74" s="226" t="s">
        <v>2710</v>
      </c>
      <c r="F74" s="226" t="s">
        <v>2684</v>
      </c>
      <c r="G74" s="226" t="s">
        <v>2715</v>
      </c>
      <c r="H74" s="226" t="s">
        <v>2712</v>
      </c>
    </row>
    <row r="75" spans="1:8" ht="13">
      <c r="A75" s="89" t="s">
        <v>2433</v>
      </c>
      <c r="H75" s="243"/>
    </row>
    <row r="76" spans="1:8">
      <c r="A76" s="201" t="s">
        <v>2686</v>
      </c>
      <c r="B76" s="243">
        <f t="array" ref="B76">SUM(VLOOKUP(GIS!A72,GIS!$A$69:$M$87,{12},FALSE)+VLOOKUP(GIS!A97,GIS!$A$94:$M$112,{12},FALSE)+VLOOKUP(GIS!A122,GIS!$A$119:$M$137,{12},FALSE)+VLOOKUP(GIS!A147,GIS!$A$144:$M$162,{12},FALSE)+VLOOKUP(GIS!A172,GIS!$A$169:$M$187,{12},FALSE)+VLOOKUP(GIS!A83,GIS!$A$69:$M$87,{12},FALSE)+VLOOKUP(GIS!A108,GIS!$A$94:$M$112,{12},FALSE)+VLOOKUP(GIS!A133,GIS!$A$119:$M$137,{12},FALSE)+VLOOKUP(GIS!A158,GIS!$A$144:$M$162,{12},FALSE)+VLOOKUP(GIS!A183,GIS!$A$169:$M$187,{12},FALSE))</f>
        <v>0</v>
      </c>
      <c r="C76" s="243">
        <f t="array" ref="C76">SUM(VLOOKUP(GIS!A222,GIS!$A$219:$M$237,{12},FALSE)+VLOOKUP(GIS!A248,GIS!$A$245:$M$263,{12},FALSE)+VLOOKUP(GIS!A274,GIS!$A$271:$M$289,{12},FALSE)+VLOOKUP(GIS!A233,GIS!$A$219:$M$237,{12},FALSE)+VLOOKUP(GIS!A259,GIS!$A$245:$M$263,{12},FALSE)+VLOOKUP(GIS!A285,GIS!$A$271:$M$289,{12},FALSE))</f>
        <v>0</v>
      </c>
      <c r="D76" s="243">
        <f t="array" ref="D76">SUM(VLOOKUP(GIS!A72,GIS!$A$69:$M$87,{13},FALSE)+VLOOKUP(GIS!A97,GIS!$A$94:$M$112,{13},FALSE)+VLOOKUP(GIS!A122,GIS!$A$119:$M$137,{13},FALSE)+VLOOKUP(GIS!A147,GIS!$A$144:$M$162,{13},FALSE)+VLOOKUP(GIS!A172,GIS!$A$169:$M$187,{13},FALSE)+VLOOKUP(GIS!A83,GIS!$A$69:$M$87,{13},FALSE)+VLOOKUP(GIS!A108,GIS!$A$94:$M$112,{13},FALSE)+VLOOKUP(GIS!A133,GIS!$A$119:$M$137,{13},FALSE)+VLOOKUP(GIS!A158,GIS!$A$144:$M$162,{13},FALSE)+VLOOKUP(GIS!A183,GIS!$A$169:$M$187,{13},FALSE))</f>
        <v>0</v>
      </c>
      <c r="E76" s="243">
        <f t="array" ref="E76">SUM(VLOOKUP(GIS!A197,GIS!$A$194:$M$212, {2,4,6,8,10,12}, FALSE)+VLOOKUP(GIS!A208,GIS!$A$194:$M$212, {2,4,6,8,10,12}, FALSE))</f>
        <v>0</v>
      </c>
      <c r="F76" s="697"/>
      <c r="G76" s="243"/>
      <c r="H76" s="243">
        <f>B76+C76+D76-E76</f>
        <v>0</v>
      </c>
    </row>
    <row r="77" spans="1:8">
      <c r="A77" s="201" t="s">
        <v>388</v>
      </c>
      <c r="B77" s="243">
        <f t="array" ref="B77">SUM(VLOOKUP(GIS!A81,GIS!$A$69:$M$87,{12},FALSE)+VLOOKUP(GIS!A106,GIS!$A$94:$M$112,{12},FALSE)+VLOOKUP(GIS!A131,GIS!$A$119:$M$137,{12},FALSE)+VLOOKUP(GIS!A156,GIS!$A$144:$M$162,{12},FALSE)+VLOOKUP(GIS!A181,GIS!$A$169:$M$187,{12},FALSE))</f>
        <v>0</v>
      </c>
      <c r="C77" s="243">
        <f t="array" ref="C77">SUM(VLOOKUP(GIS!A231,GIS!$A$219:$M$237,{12},FALSE)+VLOOKUP(GIS!A257,GIS!$A$245:$M$263,{12},FALSE)+VLOOKUP(GIS!A283,GIS!$A$271:$M$289,{12},FALSE))</f>
        <v>0</v>
      </c>
      <c r="D77" s="243">
        <f t="array" ref="D77">SUM(VLOOKUP(GIS!A81,GIS!$A$69:$M$87,{13},FALSE)+VLOOKUP(GIS!A106,GIS!$A$94:$M$112,{13},FALSE)+VLOOKUP(GIS!A131,GIS!$A$119:$M$137,{13},FALSE)+VLOOKUP(GIS!A156,GIS!$A$144:$M$162,{13},FALSE)+VLOOKUP(GIS!A181,GIS!$A$169:$M$187,{13},FALSE))</f>
        <v>0</v>
      </c>
      <c r="E77" s="243">
        <f t="array" ref="E77">SUM(VLOOKUP(GIS!A206,GIS!$A$194:$M$212, {2,4,6,8,10,12}, FALSE))</f>
        <v>0</v>
      </c>
      <c r="G77" s="243"/>
      <c r="H77" s="243">
        <f>B77+C77+D77-E77</f>
        <v>0</v>
      </c>
    </row>
    <row r="78" spans="1:8">
      <c r="A78" s="201" t="s">
        <v>2681</v>
      </c>
      <c r="B78" s="243">
        <f t="array" ref="B78">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78</f>
        <v>0</v>
      </c>
      <c r="C78" s="243">
        <f t="array" ref="C78">SUM(VLOOKUP(GIS!A230,GIS!$A$219:$M$237,{12},FALSE)+VLOOKUP(GIS!A256,GIS!$A$245:$M$263,{12},FALSE)+VLOOKUP(GIS!A282,GIS!$A$271:$M$289,{12},FALSE)+VLOOKUP(GIS!A235,GIS!$A$219:$M$237,{12},FALSE)+VLOOKUP(GIS!A261,GIS!$A$245:$M$263,{12},FALSE)+VLOOKUP(GIS!A287,GIS!$A$271:$M$289,{12},FALSE))*F78</f>
        <v>0</v>
      </c>
      <c r="D78" s="243">
        <f t="array" ref="D78">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78</f>
        <v>0</v>
      </c>
      <c r="E78" s="243">
        <f t="array" ref="E78">SUM(VLOOKUP(GIS!A205,GIS!$A$194:$M$212, {2,4,6,8,10,12}, FALSE)+VLOOKUP(GIS!A210,GIS!$A$194:$M$212, {2,4,6,8,10,12}, FALSE))*F78</f>
        <v>0</v>
      </c>
      <c r="F78" s="172">
        <f>'EIA Form 923'!E$2093</f>
        <v>0.55000353765651022</v>
      </c>
      <c r="G78" s="243"/>
      <c r="H78" s="243">
        <f t="shared" ref="H78:H83" si="3">B78+C78+D78-E78</f>
        <v>0</v>
      </c>
    </row>
    <row r="79" spans="1:8" ht="13">
      <c r="A79" s="199" t="s">
        <v>2434</v>
      </c>
      <c r="B79" s="243"/>
      <c r="C79" s="243"/>
      <c r="D79" s="243"/>
      <c r="E79" s="243"/>
      <c r="F79" s="172"/>
      <c r="G79" s="243"/>
      <c r="H79" s="243"/>
    </row>
    <row r="80" spans="1:8">
      <c r="A80" s="202" t="s">
        <v>396</v>
      </c>
      <c r="B80" s="243">
        <f t="array" ref="B80">SUM(VLOOKUP(GIS!A79,GIS!$A$69:$M$87,{12},FALSE)+VLOOKUP(GIS!A104,GIS!$A$94:$M$112,{12},FALSE)+VLOOKUP(GIS!A129,GIS!$A$119:$M$137,{12},FALSE)+VLOOKUP(GIS!A154,GIS!$A$144:$M$162,{12},FALSE)+VLOOKUP(GIS!A179,GIS!$A$169:$M$187,{12},FALSE))</f>
        <v>0</v>
      </c>
      <c r="C80" s="243">
        <f t="array" ref="C80">SUM(VLOOKUP(GIS!A229,GIS!$A$219:$M$237,{12},FALSE)+VLOOKUP(GIS!A255,GIS!$A$245:$M$263,{12},FALSE)+VLOOKUP(GIS!A281,GIS!$A$271:$M$289,{12},FALSE))</f>
        <v>0</v>
      </c>
      <c r="D80" s="243">
        <f t="array" ref="D80">SUM(VLOOKUP(GIS!A79,GIS!$A$69:$M$87,{13},FALSE)+VLOOKUP(GIS!A104,GIS!$A$94:$M$112,{13},FALSE)+VLOOKUP(GIS!A129,GIS!$A$119:$M$137,{13},FALSE)+VLOOKUP(GIS!A154,GIS!$A$144:$M$162,{13},FALSE)+VLOOKUP(GIS!A179,GIS!$A$169:$M$187,{13},FALSE))</f>
        <v>0</v>
      </c>
      <c r="E80" s="243">
        <f t="array" ref="E80">SUM(VLOOKUP(GIS!A204,GIS!$A$194:$M$212, {2,4,6,8,10,12}, FALSE))</f>
        <v>457530.92585348233</v>
      </c>
      <c r="F80" s="172"/>
      <c r="G80" s="243"/>
      <c r="H80" s="243">
        <f t="shared" si="3"/>
        <v>-457530.92585348233</v>
      </c>
    </row>
    <row r="81" spans="1:8">
      <c r="A81" s="202" t="s">
        <v>2682</v>
      </c>
      <c r="B81" s="243">
        <f t="array" ref="B81">SUM(VLOOKUP(GIS!A80,GIS!$A$69:$M$87,{12},FALSE)+VLOOKUP(GIS!A105,GIS!$A$94:$M$112,{12},FALSE)+VLOOKUP(GIS!A130,GIS!$A$119:$M$137,{12},FALSE)+VLOOKUP(GIS!A155,GIS!$A$144:$M$162,{12},FALSE)+VLOOKUP(GIS!A180,GIS!$A$169:$M$187,{12},FALSE)+VLOOKUP(GIS!A85,GIS!$A$69:$M$87,{12},FALSE)+VLOOKUP(GIS!A110,GIS!$A$94:$M$112,{12},FALSE)+VLOOKUP(GIS!A135,GIS!$A$119:$M$137,{12},FALSE)+VLOOKUP(GIS!A160,GIS!$A$144:$M$162,{12},FALSE)+VLOOKUP(GIS!A185,GIS!$A$169:$M$187,{12},FALSE))*F81</f>
        <v>0</v>
      </c>
      <c r="C81" s="243">
        <f t="array" ref="C81">SUM(VLOOKUP(GIS!A230,GIS!$A$219:$M$237,{12},FALSE)+VLOOKUP(GIS!A256,GIS!$A$245:$M$263,{12},FALSE)+VLOOKUP(GIS!A282,GIS!$A$271:$M$289,{12},FALSE)+VLOOKUP(GIS!A235,GIS!$A$219:$M$237,{12},FALSE)+VLOOKUP(GIS!A261,GIS!$A$245:$M$263,{12},FALSE)+VLOOKUP(GIS!A287,GIS!$A$271:$M$289,{12},FALSE))*F81</f>
        <v>0</v>
      </c>
      <c r="D81" s="243">
        <f t="array" ref="D81">SUM(VLOOKUP(GIS!A80,GIS!$A$69:$M$87,{13},FALSE)+VLOOKUP(GIS!A105,GIS!$A$94:$M$112,{13},FALSE)+VLOOKUP(GIS!A130,GIS!$A$119:$M$137,{13},FALSE)+VLOOKUP(GIS!A155,GIS!$A$144:$M$162,{13},FALSE)+VLOOKUP(GIS!A180,GIS!$A$169:$M$187,{13},FALSE)+VLOOKUP(GIS!A85,GIS!$A$69:$M$87,{13},FALSE)+VLOOKUP(GIS!A110,GIS!$A$94:$M$112,{13},FALSE)+VLOOKUP(GIS!A135,GIS!$A$119:$M$137,{13},FALSE)+VLOOKUP(GIS!A160,GIS!$A$144:$M$162,{13},FALSE)+VLOOKUP(GIS!A185,GIS!$A$169:$M$187,{13},FALSE))*F81</f>
        <v>0</v>
      </c>
      <c r="E81" s="243">
        <f t="array" ref="E81">SUM(VLOOKUP(GIS!A205,GIS!$A$194:$M$212, {2,4,6,8,10,12}, FALSE)+VLOOKUP(GIS!A210,GIS!$A$194:$M$212, {2,4,6,8,10,12}, FALSE))*F81</f>
        <v>0</v>
      </c>
      <c r="F81" s="172">
        <f>1-F78</f>
        <v>0.44999646234348978</v>
      </c>
      <c r="G81" s="243"/>
      <c r="H81" s="243">
        <f t="shared" si="3"/>
        <v>0</v>
      </c>
    </row>
    <row r="82" spans="1:8">
      <c r="A82" s="202" t="s">
        <v>2683</v>
      </c>
      <c r="B82" s="243">
        <f t="array" ref="B82">SUM(VLOOKUP(GIS!A70,GIS!$A$69:$M$87,{12},FALSE)+VLOOKUP(GIS!A95,GIS!$A$94:$M$112,{12},FALSE)+VLOOKUP(GIS!A120,GIS!$A$119:$M$137,{12},FALSE)+VLOOKUP(GIS!A145,GIS!$A$144:$M$162,{12},FALSE)+VLOOKUP(GIS!A170,GIS!$A$169:$M$187,{12},FALSE)+VLOOKUP(GIS!A87,GIS!$A$69:$M$87,{12},FALSE)+VLOOKUP(GIS!A112,GIS!$A$94:$M$112,{12},FALSE)+VLOOKUP(GIS!A137,GIS!$A$119:$M$137,{12},FALSE)+VLOOKUP(GIS!A162,GIS!$A$144:$M$162,{12},FALSE)+VLOOKUP(GIS!A187,GIS!$A$169:$M$187,{12},FALSE))</f>
        <v>0</v>
      </c>
      <c r="C82" s="243">
        <f t="array" ref="C82">SUM(VLOOKUP(GIS!A220,GIS!$A$219:$M$237,{12},FALSE)+VLOOKUP(GIS!A246,GIS!$A$245:$M$263,{12},FALSE)+VLOOKUP(GIS!A272,GIS!$A$271:$M$289,{12},FALSE)+VLOOKUP(GIS!A237,GIS!$A$219:$M$237,{12},FALSE)+VLOOKUP(GIS!A263,GIS!$A$245:$M$263,{12},FALSE)+VLOOKUP(GIS!A289,GIS!$A$271:$M$289,{12},FALSE))</f>
        <v>0</v>
      </c>
      <c r="D82" s="243">
        <f t="array" ref="D82">SUM(VLOOKUP(GIS!A70,GIS!$A$69:$M$87,{13},FALSE)+VLOOKUP(GIS!A95,GIS!$A$94:$M$112,{13},FALSE)+VLOOKUP(GIS!A120,GIS!$A$119:$M$137,{13},FALSE)+VLOOKUP(GIS!A145,GIS!$A$144:$M$162,{13},FALSE)+VLOOKUP(GIS!A170,GIS!$A$169:$M$187,{13},FALSE)+VLOOKUP(GIS!A87,GIS!$A$69:$M$87,{13},FALSE)+VLOOKUP(GIS!A112,GIS!$A$94:$M$112,{13},FALSE)+VLOOKUP(GIS!A137,GIS!$A$119:$M$137,{13},FALSE)+VLOOKUP(GIS!A162,GIS!$A$144:$M$162,{13},FALSE)+VLOOKUP(GIS!A187,GIS!$A$169:$M$187,{13},FALSE))</f>
        <v>0</v>
      </c>
      <c r="E82" s="243">
        <f t="array" ref="E82">SUM(VLOOKUP(GIS!A195,GIS!$A$194:$M$212, {2,4,6,8,10,12}, FALSE)+VLOOKUP(GIS!A212,GIS!$A$194:$M$212, {2,4,6,8,10,12}, FALSE))</f>
        <v>5562813.5067399936</v>
      </c>
      <c r="G82" s="243"/>
      <c r="H82" s="243">
        <f t="shared" si="3"/>
        <v>-5562813.5067399936</v>
      </c>
    </row>
    <row r="83" spans="1:8">
      <c r="A83" s="203" t="s">
        <v>2425</v>
      </c>
      <c r="B83" s="243">
        <f t="array" ref="B83">SUM(VLOOKUP(GIS!A69,GIS!$A$69:$M$87,{12},FALSE)+VLOOKUP(GIS!A94,GIS!$A$94:$M$112,{12},FALSE)+VLOOKUP(GIS!A119,GIS!$A$119:$M$137,{12},FALSE)+VLOOKUP(GIS!A144,GIS!$A$144:$M$162,{12},FALSE)+VLOOKUP(GIS!A169,GIS!$A$169:$M$187,{12},FALSE)+VLOOKUP(GIS!A73,GIS!$A$69:$M$87,{12},FALSE)+VLOOKUP(GIS!A98,GIS!$A$94:$M$112,{12},FALSE)+VLOOKUP(GIS!A123,GIS!$A$119:$M$137,{12},FALSE)+VLOOKUP(GIS!A148,GIS!$A$144:$M$162,{12},FALSE)+VLOOKUP(GIS!A173,GIS!$A$169:$M$187,{12},FALSE))</f>
        <v>0</v>
      </c>
      <c r="C83" s="243">
        <f t="array" ref="C83">SUM(VLOOKUP(GIS!A219,GIS!$A$219:$M$237,{12},FALSE)+VLOOKUP(GIS!A245,GIS!$A$245:$M$263,{12},FALSE)+VLOOKUP(GIS!A271,GIS!$A$271:$M$289,{12},FALSE)+VLOOKUP(GIS!A223,GIS!$A$219:$M$237,{12},FALSE)+VLOOKUP(GIS!A249,GIS!$A$245:$M$263,{12},FALSE)+VLOOKUP(GIS!A275,GIS!$A$271:$M$289,{12},FALSE))</f>
        <v>0</v>
      </c>
      <c r="D83" s="243">
        <f t="array" ref="D83">SUM(VLOOKUP(GIS!A69,GIS!$A$69:$M$87,{13},FALSE)+VLOOKUP(GIS!A94,GIS!$A$94:$M$112,{13},FALSE)+VLOOKUP(GIS!A119,GIS!$A$119:$M$137,{13},FALSE)+VLOOKUP(GIS!A144,GIS!$A$144:$M$162,{13},FALSE)+VLOOKUP(GIS!A169,GIS!$A$169:$M$187,{13},FALSE)+VLOOKUP(GIS!A73,GIS!$A$69:$M$87,{13},FALSE)+VLOOKUP(GIS!A98,GIS!$A$94:$M$112,{13},FALSE)+VLOOKUP(GIS!A123,GIS!$A$119:$M$137,{13},FALSE)+VLOOKUP(GIS!A148,GIS!$A$144:$M$162,{13},FALSE)+VLOOKUP(GIS!A173,GIS!$A$169:$M$187,{13},FALSE))</f>
        <v>0</v>
      </c>
      <c r="E83" s="243">
        <f t="array" ref="E83">SUM(VLOOKUP(GIS!A194,GIS!$A$194:$M$212, {2,4,6,8,10,12}, FALSE)+VLOOKUP(GIS!A198,GIS!$A$194:$M$212, {2,4,6,8,10,12}, FALSE))</f>
        <v>3148.3878248047786</v>
      </c>
      <c r="G83" s="243"/>
      <c r="H83" s="243">
        <f t="shared" si="3"/>
        <v>-3148.3878248047786</v>
      </c>
    </row>
    <row r="84" spans="1:8">
      <c r="C84" s="243"/>
    </row>
    <row r="85" spans="1:8" ht="13">
      <c r="A85" s="197" t="s">
        <v>2440</v>
      </c>
      <c r="B85" s="696"/>
      <c r="C85" s="696"/>
      <c r="D85" s="696"/>
      <c r="E85" s="696"/>
      <c r="F85" s="696"/>
    </row>
    <row r="86" spans="1:8" ht="39">
      <c r="A86" s="199" t="s">
        <v>2432</v>
      </c>
      <c r="B86" s="226" t="s">
        <v>2692</v>
      </c>
      <c r="C86" s="226" t="s">
        <v>2693</v>
      </c>
      <c r="D86" s="200" t="s">
        <v>1383</v>
      </c>
      <c r="E86" s="226" t="s">
        <v>2713</v>
      </c>
      <c r="F86" s="226" t="s">
        <v>2684</v>
      </c>
      <c r="G86" s="226" t="s">
        <v>2715</v>
      </c>
      <c r="H86" s="226" t="s">
        <v>2712</v>
      </c>
    </row>
    <row r="87" spans="1:8" ht="13">
      <c r="A87" s="89" t="s">
        <v>2433</v>
      </c>
      <c r="E87" s="243"/>
    </row>
    <row r="88" spans="1:8">
      <c r="A88" s="201" t="s">
        <v>2686</v>
      </c>
      <c r="E88" s="243">
        <f t="array" ref="E88">SUM(VLOOKUP(GIS!A222,GIS!A219:M238, {2,4,6,8,10,12}, FALSE)+VLOOKUP(GIS!A233,GIS!A219:M238, {2,4,6,8,10,12}, FALSE))</f>
        <v>0</v>
      </c>
      <c r="H88" s="243">
        <f>B88+C88-E88</f>
        <v>0</v>
      </c>
    </row>
    <row r="89" spans="1:8">
      <c r="A89" s="201" t="s">
        <v>388</v>
      </c>
      <c r="E89" s="243">
        <f t="array" ref="E89">SUM(VLOOKUP(GIS!A231,GIS!A219:M238, {2,4,6,8,10,12}, FALSE))</f>
        <v>0</v>
      </c>
      <c r="H89" s="243">
        <f>B89-E89</f>
        <v>0</v>
      </c>
    </row>
    <row r="90" spans="1:8">
      <c r="A90" s="201" t="s">
        <v>2681</v>
      </c>
      <c r="E90" s="243">
        <f t="array" ref="E90">SUM(VLOOKUP(GIS!A230,GIS!A219:M238, {2,4,6,8,10,12}, FALSE)+VLOOKUP(GIS!A235,GIS!A219:M237, {2,4,6,8,10,12},FALSE))*F90</f>
        <v>0</v>
      </c>
      <c r="F90" s="172">
        <f t="array" ref="F90">'EIA Form 923'!E2093</f>
        <v>0.55000353765651022</v>
      </c>
      <c r="H90" s="243">
        <f t="shared" ref="H90:H95" si="4">B90-E90</f>
        <v>0</v>
      </c>
    </row>
    <row r="91" spans="1:8" ht="13">
      <c r="A91" s="199" t="s">
        <v>2434</v>
      </c>
      <c r="E91" s="243"/>
      <c r="F91" s="172"/>
      <c r="H91" s="243"/>
    </row>
    <row r="92" spans="1:8">
      <c r="A92" s="202" t="s">
        <v>396</v>
      </c>
      <c r="E92" s="243">
        <f t="array" ref="E92">SUM(VLOOKUP(GIS!A229,GIS!A219:M238, {2,4,6,8,10,12}, FALSE))</f>
        <v>6627017.7899041958</v>
      </c>
      <c r="F92" s="172"/>
      <c r="H92" s="243">
        <f t="shared" si="4"/>
        <v>-6627017.7899041958</v>
      </c>
    </row>
    <row r="93" spans="1:8">
      <c r="A93" s="202" t="s">
        <v>2682</v>
      </c>
      <c r="E93" s="243">
        <f t="array" ref="E93">SUM(VLOOKUP(GIS!A230,GIS!A219:M238, {2,4,6,8,10,12}, FALSE)+VLOOKUP(GIS!A235,GIS!A219:M237, {2,4,6,8,10,12},FALSE))*F93</f>
        <v>0</v>
      </c>
      <c r="F93" s="172">
        <f>1-F90</f>
        <v>0.44999646234348978</v>
      </c>
      <c r="H93" s="243">
        <f t="shared" si="4"/>
        <v>0</v>
      </c>
    </row>
    <row r="94" spans="1:8">
      <c r="A94" s="202" t="s">
        <v>2683</v>
      </c>
      <c r="E94" s="243">
        <f t="array" ref="E94">SUM(VLOOKUP(GIS!A220,GIS!A219:M238, {2,4,6,8,10,12}, FALSE)+VLOOKUP(GIS!A237,GIS!A219:M238, {2,4,6,8,10,12},FALSE))</f>
        <v>0</v>
      </c>
      <c r="H94" s="243">
        <f t="shared" si="4"/>
        <v>0</v>
      </c>
    </row>
    <row r="95" spans="1:8">
      <c r="A95" s="203" t="s">
        <v>2425</v>
      </c>
      <c r="E95" s="243">
        <f t="array" ref="E95">SUM(VLOOKUP(GIS!A219,GIS!A219:M238,{2,4,6,8,10,12},FALSE)+VLOOKUP(GIS!A223,GIS!A219:M238,{2,4,6,8,10,12},FALSE))</f>
        <v>0</v>
      </c>
      <c r="H95" s="243">
        <f t="shared" si="4"/>
        <v>0</v>
      </c>
    </row>
    <row r="96" spans="1:8">
      <c r="E96" s="243"/>
    </row>
    <row r="97" spans="1:8" ht="13">
      <c r="A97" s="197" t="s">
        <v>2663</v>
      </c>
      <c r="B97" s="696"/>
      <c r="C97" s="696"/>
      <c r="D97" s="696"/>
      <c r="E97" s="696"/>
      <c r="F97" s="696"/>
    </row>
    <row r="98" spans="1:8" ht="42.75" customHeight="1">
      <c r="A98" s="199" t="s">
        <v>2432</v>
      </c>
      <c r="B98" s="226" t="s">
        <v>2692</v>
      </c>
      <c r="C98" s="226" t="s">
        <v>2693</v>
      </c>
      <c r="D98" s="200" t="s">
        <v>1383</v>
      </c>
      <c r="E98" s="226" t="s">
        <v>2714</v>
      </c>
      <c r="F98" s="226" t="s">
        <v>2684</v>
      </c>
      <c r="G98" s="226" t="s">
        <v>2715</v>
      </c>
      <c r="H98" s="226" t="s">
        <v>2712</v>
      </c>
    </row>
    <row r="99" spans="1:8" ht="13">
      <c r="A99" s="89" t="s">
        <v>2433</v>
      </c>
    </row>
    <row r="100" spans="1:8">
      <c r="A100" s="201" t="s">
        <v>2686</v>
      </c>
      <c r="E100" s="243">
        <f t="array" ref="E100">SUM(VLOOKUP(GIS!A248,GIS!A245:M263, {2,4,6,8,10,12}, FALSE)+VLOOKUP(GIS!A259,GIS!A245:M263, {2,4,6,8,10,12}, FALSE))</f>
        <v>0</v>
      </c>
      <c r="H100" s="243">
        <f>B100+C100-E100</f>
        <v>0</v>
      </c>
    </row>
    <row r="101" spans="1:8">
      <c r="A101" s="201" t="s">
        <v>388</v>
      </c>
      <c r="E101" s="243">
        <f t="array" ref="E101">SUM(VLOOKUP(GIS!A257,GIS!A245:M263, {2,4,6,8,10,12}, FALSE))</f>
        <v>0</v>
      </c>
      <c r="H101" s="243">
        <f>B101-E101</f>
        <v>0</v>
      </c>
    </row>
    <row r="102" spans="1:8">
      <c r="A102" s="201" t="s">
        <v>2681</v>
      </c>
      <c r="E102" s="243">
        <f t="array" ref="E102">SUM(VLOOKUP(GIS!A256,GIS!A245:M263,{2,4,6,8,10,12},FALSE)+VLOOKUP(GIS!A261,GIS!A245:M262,{2,4,6,8,10,12},FALSE))*F102</f>
        <v>0</v>
      </c>
      <c r="F102" s="172">
        <f t="array" ref="F102">'EIA Form 923'!E2093</f>
        <v>0.55000353765651022</v>
      </c>
      <c r="H102" s="243">
        <f t="shared" ref="H102:H107" si="5">B102-E102</f>
        <v>0</v>
      </c>
    </row>
    <row r="103" spans="1:8" ht="13">
      <c r="A103" s="199" t="s">
        <v>2434</v>
      </c>
      <c r="E103" s="243"/>
      <c r="F103" s="172"/>
      <c r="H103" s="243"/>
    </row>
    <row r="104" spans="1:8">
      <c r="A104" s="202" t="s">
        <v>396</v>
      </c>
      <c r="E104" s="243">
        <f t="array" ref="E104">SUM(VLOOKUP(GIS!A255,GIS!A245:M263, {2,4,6,8,10,12}, FALSE))</f>
        <v>0</v>
      </c>
      <c r="F104" s="172"/>
      <c r="H104" s="243">
        <f t="shared" si="5"/>
        <v>0</v>
      </c>
    </row>
    <row r="105" spans="1:8">
      <c r="A105" s="202" t="s">
        <v>2682</v>
      </c>
      <c r="E105" s="243">
        <f t="array" ref="E105">SUM(VLOOKUP(GIS!A256,GIS!A245:M263, {2,4,6,8,10,12}, FALSE)+VLOOKUP(GIS!A261,GIS!A245:M262, {2,4,6,8,10,12},FALSE))*F105</f>
        <v>0</v>
      </c>
      <c r="F105" s="172">
        <f>1-F102</f>
        <v>0.44999646234348978</v>
      </c>
      <c r="H105" s="243">
        <f t="shared" si="5"/>
        <v>0</v>
      </c>
    </row>
    <row r="106" spans="1:8">
      <c r="A106" s="202" t="s">
        <v>2683</v>
      </c>
      <c r="E106" s="243">
        <f t="array" ref="E106">SUM(VLOOKUP(GIS!A246,GIS!A245:M263, {2,4,6,8,10,12}, FALSE)+VLOOKUP(GIS!A263,GIS!A245:M263, {2,4,6,8,10,12},FALSE))</f>
        <v>0</v>
      </c>
      <c r="H106" s="243">
        <f t="shared" si="5"/>
        <v>0</v>
      </c>
    </row>
    <row r="107" spans="1:8">
      <c r="A107" s="203" t="s">
        <v>2425</v>
      </c>
      <c r="E107" s="243">
        <f t="array" ref="E107">SUM(VLOOKUP(GIS!A245,GIS!A245:M263, {2,4,6,8,10,12}, FALSE)+VLOOKUP(GIS!A249,GIS!A245:M263, {2,4,6,8,10,12}, FALSE))</f>
        <v>0</v>
      </c>
      <c r="H107" s="243">
        <f t="shared" si="5"/>
        <v>0</v>
      </c>
    </row>
    <row r="109" spans="1:8" ht="13">
      <c r="A109" s="197" t="s">
        <v>2441</v>
      </c>
      <c r="B109" s="696"/>
      <c r="C109" s="696"/>
      <c r="D109" s="696"/>
      <c r="E109" s="696"/>
      <c r="F109" s="696"/>
    </row>
    <row r="110" spans="1:8" ht="39" customHeight="1">
      <c r="A110" s="199" t="s">
        <v>2432</v>
      </c>
      <c r="B110" s="226" t="s">
        <v>2692</v>
      </c>
      <c r="C110" s="226" t="s">
        <v>2693</v>
      </c>
      <c r="D110" s="200" t="s">
        <v>1383</v>
      </c>
      <c r="E110" s="226" t="s">
        <v>2714</v>
      </c>
      <c r="F110" s="226" t="s">
        <v>2684</v>
      </c>
      <c r="G110" s="226" t="s">
        <v>2715</v>
      </c>
      <c r="H110" s="226" t="s">
        <v>2712</v>
      </c>
    </row>
    <row r="111" spans="1:8" ht="13">
      <c r="A111" s="89" t="s">
        <v>2433</v>
      </c>
    </row>
    <row r="112" spans="1:8">
      <c r="A112" s="201" t="s">
        <v>2686</v>
      </c>
      <c r="E112" s="243">
        <f t="array" ref="E112">SUM(VLOOKUP(GIS!A274,GIS!A271:M289,{2,4,6,8,10,12},FALSE)+VLOOKUP(GIS!A285,GIS!A271:M289,{2,4,6,8,10,12},FALSE))</f>
        <v>0</v>
      </c>
      <c r="H112" s="243">
        <f>B112+C112-E112</f>
        <v>0</v>
      </c>
    </row>
    <row r="113" spans="1:8">
      <c r="A113" s="201" t="s">
        <v>388</v>
      </c>
      <c r="E113" s="243">
        <f t="array" ref="E113">SUM(VLOOKUP(GIS!A283,GIS!A271:M289, {2,4,6,8,10,12}, FALSE))</f>
        <v>0</v>
      </c>
      <c r="H113" s="243">
        <f>B113-E113</f>
        <v>0</v>
      </c>
    </row>
    <row r="114" spans="1:8">
      <c r="A114" s="201" t="s">
        <v>2681</v>
      </c>
      <c r="E114" s="243">
        <f t="array" ref="E114">SUM(VLOOKUP(GIS!A282,GIS!A271:M289, {2,4,6,8,10,12}, FALSE)+VLOOKUP(GIS!A287,GIS!A271:M289, {2,4,6,8,10,12},FALSE))*F114</f>
        <v>0</v>
      </c>
      <c r="F114" s="172">
        <f t="array" ref="F114">'EIA Form 923'!E2093</f>
        <v>0.55000353765651022</v>
      </c>
      <c r="H114" s="243">
        <f t="shared" ref="H114:H119" si="6">B114-E114</f>
        <v>0</v>
      </c>
    </row>
    <row r="115" spans="1:8" ht="13">
      <c r="A115" s="199" t="s">
        <v>2434</v>
      </c>
      <c r="E115" s="243"/>
      <c r="F115" s="172"/>
      <c r="H115" s="243"/>
    </row>
    <row r="116" spans="1:8">
      <c r="A116" s="202" t="s">
        <v>396</v>
      </c>
      <c r="E116" s="243">
        <f t="array" ref="E116">SUM(VLOOKUP(GIS!A281,GIS!A271:M289, {2,4,6,8,10,12}, FALSE))</f>
        <v>585595.09416200884</v>
      </c>
      <c r="F116" s="172"/>
      <c r="H116" s="243">
        <f t="shared" si="6"/>
        <v>-585595.09416200884</v>
      </c>
    </row>
    <row r="117" spans="1:8">
      <c r="A117" s="202" t="s">
        <v>2682</v>
      </c>
      <c r="E117" s="243">
        <f t="array" ref="E117">SUM(VLOOKUP(GIS!A282,GIS!A271:M289, {2,4,6,8,10,12}, FALSE)+VLOOKUP(GIS!A287,GIS!A271:M289, {2,4,6,8,10,12},FALSE))*F117</f>
        <v>0</v>
      </c>
      <c r="F117" s="172">
        <f>1-F114</f>
        <v>0.44999646234348978</v>
      </c>
      <c r="H117" s="243">
        <f t="shared" si="6"/>
        <v>0</v>
      </c>
    </row>
    <row r="118" spans="1:8">
      <c r="A118" s="202" t="s">
        <v>2683</v>
      </c>
      <c r="E118" s="243">
        <f t="array" ref="E118">SUM(VLOOKUP(GIS!A272,GIS!A271:M289, {2,4,6,8,10,12}, FALSE)+VLOOKUP(GIS!A289,GIS!A271:M289, {2,4,6,8,10,12}, FALSE))</f>
        <v>1192540.9542031346</v>
      </c>
      <c r="F118" s="172"/>
      <c r="H118" s="243">
        <f t="shared" si="6"/>
        <v>-1192540.9542031346</v>
      </c>
    </row>
    <row r="119" spans="1:8">
      <c r="A119" s="203" t="s">
        <v>2425</v>
      </c>
      <c r="E119" s="243">
        <f t="array" ref="E119">SUM(VLOOKUP(GIS!A271,GIS!A271:M289, {2,4,6,8,10,12}, FALSE)+VLOOKUP(GIS!A275,GIS!A271:M289, {2,4,6,8,10,12}, FALSE))</f>
        <v>0</v>
      </c>
      <c r="H119" s="243">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39997558519241921"/>
  </sheetPr>
  <dimension ref="A1:AQ310"/>
  <sheetViews>
    <sheetView zoomScale="84" zoomScaleNormal="100" workbookViewId="0"/>
  </sheetViews>
  <sheetFormatPr defaultColWidth="9.1796875" defaultRowHeight="12.5"/>
  <cols>
    <col min="1" max="1" width="40" style="28" customWidth="1"/>
    <col min="2" max="2" width="14" style="28" customWidth="1"/>
    <col min="3" max="3" width="13.453125" style="28" customWidth="1"/>
    <col min="4" max="4" width="16.36328125" style="28" customWidth="1"/>
    <col min="5" max="5" width="15" style="28" customWidth="1"/>
    <col min="6" max="6" width="14.36328125" style="28" customWidth="1"/>
    <col min="7" max="7" width="11.453125" style="28" customWidth="1"/>
    <col min="8" max="9" width="14.453125" style="28" customWidth="1"/>
    <col min="10" max="10" width="13.453125" style="28" customWidth="1"/>
    <col min="11" max="11" width="19.81640625" style="28" customWidth="1"/>
    <col min="12" max="12" width="13.81640625" style="28" customWidth="1"/>
    <col min="13" max="13" width="14" style="28" customWidth="1"/>
    <col min="14" max="14" width="10.1796875" style="32" customWidth="1"/>
    <col min="15" max="15" width="23.36328125" style="28" customWidth="1"/>
    <col min="16" max="16" width="30.453125" style="28" customWidth="1"/>
    <col min="17" max="18" width="12.453125" style="28" customWidth="1"/>
    <col min="19" max="19" width="11.1796875" style="28" customWidth="1"/>
    <col min="20" max="20" width="11.6328125" style="28" customWidth="1"/>
    <col min="21" max="21" width="11.1796875" style="28" customWidth="1"/>
    <col min="22" max="22" width="13.81640625" style="28" customWidth="1"/>
    <col min="23" max="23" width="10.453125" style="28" customWidth="1"/>
    <col min="24" max="24" width="12.36328125" style="28" customWidth="1"/>
    <col min="25" max="25" width="11.1796875" style="28" customWidth="1"/>
    <col min="26" max="26" width="12.1796875" style="28" customWidth="1"/>
    <col min="27" max="27" width="9.453125" style="28" customWidth="1"/>
    <col min="28" max="28" width="12.453125" style="28" customWidth="1"/>
    <col min="29" max="29" width="9.6328125" style="28" customWidth="1"/>
    <col min="30" max="30" width="9.1796875" style="28" customWidth="1"/>
    <col min="31" max="31" width="9.6328125" style="28" customWidth="1"/>
    <col min="32" max="32" width="12.81640625" style="28" customWidth="1"/>
    <col min="33" max="33" width="9.36328125" style="28" customWidth="1"/>
    <col min="34" max="34" width="10.81640625" style="28" customWidth="1"/>
    <col min="35" max="35" width="12.453125" style="28" customWidth="1"/>
    <col min="36" max="36" width="9.453125" style="28" customWidth="1"/>
    <col min="37" max="37" width="12.1796875" style="28" customWidth="1"/>
    <col min="38" max="39" width="9.1796875" style="28" customWidth="1"/>
    <col min="40" max="40" width="13.1796875" style="28" customWidth="1"/>
    <col min="41" max="41" width="12.81640625" style="28" bestFit="1" customWidth="1"/>
    <col min="42" max="42" width="11.81640625" style="28" customWidth="1"/>
    <col min="43" max="43" width="13.36328125" style="28" customWidth="1"/>
    <col min="44" max="44" width="16.6328125" style="28" customWidth="1"/>
    <col min="45" max="45" width="9.1796875" style="28"/>
    <col min="46" max="46" width="12.81640625" style="28" customWidth="1"/>
    <col min="47" max="16384" width="9.1796875" style="28"/>
  </cols>
  <sheetData>
    <row r="1" spans="1:23" ht="15.5">
      <c r="A1" s="148" t="s">
        <v>2880</v>
      </c>
      <c r="B1" s="145"/>
      <c r="C1" s="145"/>
      <c r="D1" s="145"/>
      <c r="E1" s="145"/>
      <c r="F1" s="145"/>
      <c r="G1" s="145"/>
      <c r="H1" s="145"/>
      <c r="I1" s="145"/>
      <c r="J1" s="145"/>
      <c r="K1" s="145"/>
      <c r="L1" s="145"/>
      <c r="M1" s="145"/>
      <c r="N1" s="33"/>
      <c r="O1" s="145"/>
      <c r="P1" s="145"/>
    </row>
    <row r="2" spans="1:23" ht="15.5">
      <c r="A2" s="148" t="s">
        <v>2799</v>
      </c>
      <c r="B2" s="145"/>
      <c r="C2" s="145"/>
      <c r="D2" s="145"/>
      <c r="E2" s="145"/>
      <c r="F2" s="145"/>
      <c r="G2" s="145"/>
      <c r="H2" s="145"/>
      <c r="I2" s="145"/>
      <c r="J2" s="145"/>
      <c r="K2" s="145"/>
      <c r="L2" s="145"/>
      <c r="M2" s="145"/>
      <c r="N2" s="33"/>
      <c r="O2" s="145"/>
      <c r="P2" s="145"/>
    </row>
    <row r="3" spans="1:23" ht="15.5">
      <c r="A3" s="148"/>
      <c r="B3" s="145"/>
      <c r="C3" s="145"/>
      <c r="D3" s="145"/>
      <c r="E3" s="145"/>
      <c r="F3" s="145"/>
      <c r="G3" s="145"/>
      <c r="H3" s="145"/>
      <c r="I3" s="145"/>
      <c r="J3" s="145"/>
      <c r="K3" s="145"/>
      <c r="L3" s="145"/>
      <c r="M3" s="145"/>
      <c r="N3" s="33"/>
      <c r="O3" s="145"/>
    </row>
    <row r="4" spans="1:23">
      <c r="A4" s="145" t="s">
        <v>2756</v>
      </c>
      <c r="B4" s="145"/>
      <c r="C4" s="145"/>
      <c r="D4" s="145"/>
      <c r="E4" s="145"/>
      <c r="F4" s="145"/>
      <c r="G4" s="145"/>
      <c r="H4" s="145"/>
      <c r="I4" s="145"/>
      <c r="J4" s="145"/>
      <c r="K4" s="145"/>
      <c r="L4" s="145"/>
      <c r="M4" s="145"/>
      <c r="N4" s="33"/>
      <c r="O4" s="145"/>
      <c r="P4" s="145"/>
      <c r="Q4" s="145"/>
      <c r="R4" s="145"/>
      <c r="S4" s="145"/>
      <c r="T4" s="145"/>
      <c r="U4" s="145"/>
      <c r="V4" s="145"/>
      <c r="W4" s="145"/>
    </row>
    <row r="5" spans="1:23">
      <c r="A5" s="145" t="s">
        <v>2800</v>
      </c>
      <c r="B5" s="145"/>
      <c r="C5" s="145"/>
      <c r="D5" s="145"/>
      <c r="E5" s="145"/>
      <c r="F5" s="145"/>
      <c r="G5" s="145"/>
      <c r="H5" s="145"/>
      <c r="I5" s="145"/>
      <c r="J5" s="145"/>
      <c r="K5" s="145"/>
      <c r="L5" s="145"/>
      <c r="M5" s="145"/>
      <c r="N5" s="33"/>
      <c r="O5" s="145"/>
      <c r="P5" s="145"/>
      <c r="Q5" s="145"/>
      <c r="R5" s="145"/>
      <c r="S5" s="145"/>
      <c r="T5" s="145"/>
      <c r="U5" s="145"/>
      <c r="V5" s="145"/>
      <c r="W5" s="145"/>
    </row>
    <row r="6" spans="1:23">
      <c r="A6" s="145" t="s">
        <v>2690</v>
      </c>
      <c r="B6" s="145"/>
      <c r="C6" s="145"/>
      <c r="D6" s="145"/>
      <c r="E6" s="145"/>
      <c r="F6" s="145"/>
      <c r="G6" s="145"/>
      <c r="H6" s="145"/>
      <c r="I6" s="145"/>
      <c r="J6" s="145"/>
      <c r="K6" s="145"/>
      <c r="L6" s="145"/>
      <c r="M6" s="145"/>
      <c r="N6" s="33"/>
      <c r="O6" s="145"/>
      <c r="P6" s="145"/>
      <c r="Q6" s="145"/>
      <c r="R6" s="145"/>
      <c r="S6" s="145"/>
      <c r="T6" s="145"/>
      <c r="U6" s="145"/>
      <c r="V6" s="145"/>
      <c r="W6" s="145"/>
    </row>
    <row r="7" spans="1:23" ht="13">
      <c r="A7" s="145"/>
      <c r="B7" s="145"/>
      <c r="C7" s="145"/>
      <c r="D7" s="145"/>
      <c r="E7" s="145"/>
      <c r="F7" s="145"/>
      <c r="G7" s="145"/>
      <c r="H7" s="145"/>
      <c r="I7" s="145"/>
      <c r="J7" s="145"/>
      <c r="K7" s="145"/>
      <c r="L7" s="145"/>
      <c r="M7" s="145"/>
      <c r="N7" s="33"/>
      <c r="O7" s="145"/>
      <c r="P7" s="151"/>
      <c r="Q7" s="145"/>
      <c r="R7" s="145"/>
      <c r="S7" s="145"/>
      <c r="T7" s="145"/>
      <c r="U7" s="145"/>
      <c r="V7" s="145"/>
      <c r="W7" s="145"/>
    </row>
    <row r="8" spans="1:23" ht="13">
      <c r="A8" s="149" t="s">
        <v>2801</v>
      </c>
      <c r="B8" s="145"/>
      <c r="C8" s="145"/>
      <c r="D8" s="145"/>
      <c r="E8" s="145"/>
      <c r="F8" s="145"/>
      <c r="G8" s="145"/>
      <c r="H8" s="145"/>
      <c r="I8" s="145"/>
      <c r="J8" s="145"/>
      <c r="K8" s="145"/>
      <c r="L8" s="145"/>
      <c r="M8" s="145"/>
      <c r="N8" s="33"/>
      <c r="O8" s="145"/>
      <c r="P8" s="49"/>
      <c r="Q8" s="145"/>
      <c r="R8" s="145"/>
      <c r="S8" s="145"/>
      <c r="T8" s="145"/>
      <c r="U8" s="145"/>
      <c r="V8" s="145"/>
      <c r="W8" s="145"/>
    </row>
    <row r="9" spans="1:23">
      <c r="A9" s="145" t="s">
        <v>2939</v>
      </c>
      <c r="B9" s="145"/>
      <c r="C9" s="145"/>
      <c r="D9" s="145"/>
      <c r="E9" s="145"/>
      <c r="F9" s="145"/>
      <c r="G9" s="145"/>
      <c r="H9" s="145"/>
      <c r="I9" s="145"/>
      <c r="J9" s="145"/>
      <c r="K9" s="145"/>
      <c r="L9" s="145"/>
      <c r="M9" s="145"/>
      <c r="N9" s="33"/>
      <c r="O9" s="145"/>
      <c r="P9" s="49"/>
      <c r="Q9" s="145"/>
      <c r="R9" s="145"/>
      <c r="S9" s="145"/>
      <c r="T9" s="145"/>
      <c r="U9" s="145"/>
      <c r="V9" s="145"/>
      <c r="W9" s="145"/>
    </row>
    <row r="10" spans="1:23">
      <c r="A10" s="33" t="s">
        <v>2806</v>
      </c>
      <c r="B10" s="145"/>
      <c r="C10" s="145"/>
      <c r="D10" s="145"/>
      <c r="E10" s="145"/>
      <c r="F10" s="145"/>
      <c r="G10" s="145"/>
      <c r="H10" s="145"/>
      <c r="I10" s="145"/>
      <c r="J10" s="145"/>
      <c r="K10" s="145"/>
      <c r="L10" s="145"/>
      <c r="M10" s="145"/>
      <c r="N10" s="33"/>
      <c r="O10" s="145"/>
      <c r="P10" s="49"/>
      <c r="Q10" s="145"/>
      <c r="R10" s="145"/>
      <c r="S10" s="145"/>
      <c r="T10" s="145"/>
      <c r="U10" s="145"/>
      <c r="V10" s="145"/>
      <c r="W10" s="145"/>
    </row>
    <row r="11" spans="1:23">
      <c r="A11" s="33" t="s">
        <v>2856</v>
      </c>
      <c r="B11" s="145"/>
      <c r="C11" s="145"/>
      <c r="D11" s="145"/>
      <c r="E11" s="145"/>
      <c r="F11" s="145"/>
      <c r="G11" s="145"/>
      <c r="H11" s="145"/>
      <c r="I11" s="145"/>
      <c r="J11" s="145"/>
      <c r="K11" s="145"/>
      <c r="L11" s="145"/>
      <c r="M11" s="145"/>
      <c r="N11" s="33"/>
      <c r="O11" s="145"/>
      <c r="P11" s="49"/>
      <c r="Q11" s="145"/>
      <c r="R11" s="145"/>
      <c r="S11" s="145"/>
      <c r="T11" s="145"/>
      <c r="U11" s="145"/>
      <c r="V11" s="145"/>
      <c r="W11" s="145"/>
    </row>
    <row r="12" spans="1:23">
      <c r="A12" s="145"/>
      <c r="B12" s="145"/>
      <c r="C12" s="145"/>
      <c r="D12" s="145"/>
      <c r="E12" s="145"/>
      <c r="F12" s="145"/>
      <c r="G12" s="145"/>
      <c r="H12" s="145"/>
      <c r="I12" s="145"/>
      <c r="J12" s="145"/>
      <c r="K12" s="145"/>
      <c r="L12" s="145"/>
      <c r="M12" s="145"/>
      <c r="N12" s="33"/>
      <c r="O12" s="145"/>
      <c r="P12" s="49"/>
      <c r="Q12" s="145"/>
      <c r="R12" s="145"/>
      <c r="S12" s="145"/>
      <c r="T12" s="145"/>
      <c r="U12" s="145"/>
      <c r="V12" s="145"/>
      <c r="W12" s="145"/>
    </row>
    <row r="13" spans="1:23" ht="13">
      <c r="A13" s="56" t="s">
        <v>2904</v>
      </c>
      <c r="B13" s="145"/>
      <c r="C13" s="145"/>
      <c r="D13" s="145"/>
      <c r="E13" s="145"/>
      <c r="F13" s="145"/>
      <c r="G13" s="145"/>
      <c r="H13" s="145"/>
      <c r="I13" s="145"/>
      <c r="J13" s="145"/>
      <c r="K13" s="145"/>
      <c r="L13" s="145"/>
      <c r="M13" s="145"/>
      <c r="N13" s="33"/>
      <c r="O13" s="145"/>
      <c r="P13" s="49"/>
      <c r="Q13" s="145"/>
      <c r="R13" s="145"/>
      <c r="S13" s="145"/>
      <c r="T13" s="145"/>
      <c r="U13" s="145"/>
      <c r="V13" s="145"/>
      <c r="W13" s="145"/>
    </row>
    <row r="14" spans="1:23">
      <c r="A14" s="33" t="s">
        <v>2804</v>
      </c>
      <c r="B14" s="145"/>
      <c r="C14" s="145"/>
      <c r="D14" s="145"/>
      <c r="E14" s="145"/>
      <c r="F14" s="145"/>
      <c r="G14" s="145"/>
      <c r="H14" s="145"/>
      <c r="I14" s="145"/>
      <c r="J14" s="145"/>
      <c r="K14" s="145"/>
      <c r="L14" s="145"/>
      <c r="M14" s="145"/>
      <c r="N14" s="33"/>
      <c r="O14" s="145"/>
      <c r="P14" s="49"/>
      <c r="Q14" s="145"/>
      <c r="R14" s="145"/>
      <c r="S14" s="145"/>
      <c r="T14" s="145"/>
      <c r="U14" s="145"/>
      <c r="V14" s="145"/>
      <c r="W14" s="145"/>
    </row>
    <row r="15" spans="1:23">
      <c r="A15" s="33" t="s">
        <v>2805</v>
      </c>
      <c r="B15" s="145"/>
      <c r="C15" s="145"/>
      <c r="D15" s="145"/>
      <c r="E15" s="145"/>
      <c r="F15" s="145"/>
      <c r="G15" s="145"/>
      <c r="H15" s="145"/>
      <c r="I15" s="145"/>
      <c r="J15" s="145"/>
      <c r="K15" s="145"/>
      <c r="L15" s="145"/>
      <c r="M15" s="145"/>
      <c r="N15" s="33"/>
      <c r="O15" s="145"/>
      <c r="P15" s="49"/>
      <c r="Q15" s="145"/>
      <c r="R15" s="145"/>
      <c r="S15" s="145"/>
      <c r="T15" s="145"/>
      <c r="U15" s="145"/>
      <c r="V15" s="145"/>
      <c r="W15" s="145"/>
    </row>
    <row r="16" spans="1:23">
      <c r="A16" s="33" t="s">
        <v>2807</v>
      </c>
      <c r="B16" s="145"/>
      <c r="C16" s="145"/>
      <c r="D16" s="145"/>
      <c r="E16" s="145"/>
      <c r="F16" s="145"/>
      <c r="G16" s="145"/>
      <c r="H16" s="145"/>
      <c r="I16" s="145"/>
      <c r="J16" s="145"/>
      <c r="K16" s="145"/>
      <c r="L16" s="145"/>
      <c r="M16" s="145"/>
      <c r="N16" s="33"/>
      <c r="O16" s="145"/>
      <c r="P16" s="49"/>
      <c r="Q16" s="145"/>
      <c r="R16" s="145"/>
      <c r="S16" s="145"/>
      <c r="T16" s="145"/>
      <c r="U16" s="145"/>
      <c r="V16" s="145"/>
      <c r="W16" s="145"/>
    </row>
    <row r="17" spans="1:35">
      <c r="A17" s="145"/>
      <c r="B17" s="145"/>
      <c r="C17" s="145"/>
      <c r="D17" s="145"/>
      <c r="E17" s="145"/>
      <c r="F17" s="145"/>
      <c r="G17" s="145"/>
      <c r="H17" s="145"/>
      <c r="I17" s="145"/>
      <c r="J17" s="145"/>
      <c r="K17" s="145"/>
      <c r="L17" s="145"/>
      <c r="M17" s="145"/>
      <c r="N17" s="33"/>
      <c r="O17" s="145"/>
      <c r="P17" s="49"/>
      <c r="Q17" s="145"/>
      <c r="R17" s="145"/>
      <c r="S17" s="145"/>
      <c r="T17" s="145"/>
      <c r="U17" s="145"/>
      <c r="V17" s="145"/>
      <c r="W17" s="145"/>
    </row>
    <row r="18" spans="1:35" ht="13">
      <c r="A18" s="149" t="s">
        <v>2913</v>
      </c>
      <c r="B18" s="145"/>
      <c r="C18" s="145"/>
      <c r="D18" s="145"/>
      <c r="E18" s="145"/>
      <c r="F18" s="145"/>
      <c r="G18" s="145"/>
      <c r="H18" s="145"/>
      <c r="I18" s="145"/>
      <c r="J18" s="145"/>
      <c r="K18" s="145"/>
      <c r="L18" s="145"/>
      <c r="M18" s="145"/>
      <c r="N18" s="33"/>
      <c r="O18" s="145"/>
      <c r="P18" s="49"/>
      <c r="Q18" s="145"/>
      <c r="R18" s="145"/>
      <c r="S18" s="145"/>
      <c r="T18" s="145"/>
      <c r="U18" s="145"/>
      <c r="V18" s="145"/>
      <c r="W18" s="145"/>
    </row>
    <row r="19" spans="1:35">
      <c r="A19" s="33" t="s">
        <v>2914</v>
      </c>
      <c r="B19" s="145"/>
      <c r="C19" s="145"/>
      <c r="D19" s="145"/>
      <c r="E19" s="145"/>
      <c r="F19" s="145"/>
      <c r="G19" s="145"/>
      <c r="H19" s="145"/>
      <c r="I19" s="145"/>
      <c r="J19" s="145"/>
      <c r="K19" s="145"/>
      <c r="L19" s="145"/>
      <c r="M19" s="145"/>
      <c r="N19" s="33"/>
      <c r="O19" s="145"/>
      <c r="P19" s="49"/>
      <c r="Q19" s="145"/>
      <c r="R19" s="145"/>
      <c r="S19" s="145"/>
      <c r="T19" s="145"/>
      <c r="U19" s="145"/>
      <c r="V19" s="145"/>
      <c r="W19" s="145"/>
    </row>
    <row r="20" spans="1:35">
      <c r="A20" s="33" t="s">
        <v>2915</v>
      </c>
      <c r="B20" s="145"/>
      <c r="C20" s="145"/>
      <c r="D20" s="145"/>
      <c r="E20" s="145"/>
      <c r="F20" s="145"/>
      <c r="G20" s="145"/>
      <c r="H20" s="145"/>
      <c r="I20" s="145"/>
      <c r="J20" s="145"/>
      <c r="K20" s="145"/>
      <c r="L20" s="145"/>
      <c r="M20" s="145"/>
      <c r="N20" s="33"/>
      <c r="O20" s="145"/>
      <c r="P20" s="49"/>
      <c r="Q20" s="631"/>
      <c r="R20" s="145"/>
      <c r="S20" s="145"/>
      <c r="T20" s="145"/>
      <c r="U20" s="145"/>
      <c r="V20" s="145"/>
      <c r="W20" s="145"/>
    </row>
    <row r="21" spans="1:35">
      <c r="A21" s="33" t="s">
        <v>2808</v>
      </c>
      <c r="B21" s="145"/>
      <c r="C21" s="145"/>
      <c r="D21" s="145"/>
      <c r="E21" s="145"/>
      <c r="F21" s="145"/>
      <c r="G21" s="145"/>
      <c r="H21" s="145"/>
      <c r="I21" s="145"/>
      <c r="J21" s="145"/>
      <c r="K21" s="145"/>
      <c r="L21" s="145"/>
      <c r="M21" s="145"/>
      <c r="N21" s="33"/>
      <c r="O21" s="145"/>
      <c r="P21" s="145"/>
      <c r="Q21" s="145"/>
      <c r="R21" s="145"/>
      <c r="S21" s="145"/>
      <c r="T21" s="145"/>
      <c r="U21" s="145"/>
      <c r="V21" s="145"/>
      <c r="W21" s="145"/>
    </row>
    <row r="22" spans="1:35">
      <c r="A22" s="145"/>
      <c r="B22" s="145"/>
      <c r="C22" s="145"/>
      <c r="D22" s="145"/>
      <c r="E22" s="145"/>
      <c r="F22" s="145"/>
      <c r="G22" s="145"/>
      <c r="H22" s="145"/>
      <c r="I22" s="145"/>
      <c r="J22" s="145"/>
      <c r="K22" s="145"/>
      <c r="L22" s="145"/>
      <c r="M22" s="145"/>
      <c r="N22" s="33"/>
      <c r="O22" s="145"/>
      <c r="P22" s="145"/>
      <c r="Q22" s="145"/>
      <c r="R22" s="145"/>
      <c r="S22" s="145"/>
      <c r="T22" s="145"/>
      <c r="U22" s="145"/>
      <c r="V22" s="145"/>
      <c r="W22" s="145"/>
    </row>
    <row r="23" spans="1:35">
      <c r="A23" s="150" t="s">
        <v>2809</v>
      </c>
      <c r="B23" s="145"/>
      <c r="C23" s="145"/>
      <c r="D23" s="145"/>
      <c r="E23" s="145"/>
      <c r="F23" s="145"/>
      <c r="G23" s="145"/>
      <c r="H23" s="145"/>
      <c r="I23" s="145"/>
      <c r="J23" s="145"/>
      <c r="K23" s="145"/>
      <c r="L23" s="145"/>
      <c r="M23" s="145"/>
      <c r="N23" s="33"/>
      <c r="O23" s="145"/>
      <c r="P23" s="49"/>
      <c r="Q23" s="145"/>
      <c r="R23" s="145"/>
      <c r="S23" s="145"/>
      <c r="T23" s="145"/>
      <c r="U23" s="145"/>
      <c r="V23" s="145"/>
      <c r="W23" s="145"/>
    </row>
    <row r="24" spans="1:35">
      <c r="A24" s="33" t="s">
        <v>2810</v>
      </c>
      <c r="B24" s="145"/>
      <c r="C24" s="145"/>
      <c r="D24" s="145"/>
      <c r="E24" s="145"/>
      <c r="F24" s="145"/>
      <c r="G24" s="145"/>
      <c r="H24" s="145"/>
      <c r="I24" s="145"/>
      <c r="J24" s="145"/>
      <c r="K24" s="145"/>
      <c r="L24" s="145"/>
      <c r="M24" s="145"/>
      <c r="N24" s="33"/>
      <c r="O24" s="145"/>
      <c r="P24" s="49"/>
      <c r="Q24" s="145"/>
      <c r="R24" s="145"/>
      <c r="S24" s="145"/>
      <c r="T24" s="145"/>
      <c r="U24" s="145"/>
      <c r="V24" s="145"/>
      <c r="W24" s="145"/>
    </row>
    <row r="25" spans="1:35">
      <c r="A25" s="145" t="s">
        <v>2940</v>
      </c>
      <c r="B25" s="145"/>
      <c r="C25" s="145"/>
      <c r="D25" s="145"/>
      <c r="E25" s="145"/>
      <c r="F25" s="145"/>
      <c r="G25" s="145"/>
      <c r="H25" s="145"/>
      <c r="I25" s="145"/>
      <c r="J25" s="145"/>
      <c r="K25" s="145"/>
      <c r="L25" s="145"/>
      <c r="M25" s="145"/>
      <c r="N25" s="33"/>
      <c r="O25" s="145"/>
      <c r="P25" s="145"/>
      <c r="Q25" s="145"/>
      <c r="R25" s="145"/>
      <c r="S25" s="145"/>
      <c r="T25" s="145"/>
      <c r="U25" s="145"/>
      <c r="V25" s="145"/>
      <c r="W25" s="145"/>
    </row>
    <row r="26" spans="1:35" ht="13.5" thickBot="1">
      <c r="A26" s="88"/>
      <c r="B26" s="567"/>
      <c r="C26" s="567"/>
      <c r="D26" s="567"/>
      <c r="E26" s="567"/>
      <c r="F26" s="567"/>
      <c r="G26" s="567"/>
      <c r="H26" s="567"/>
      <c r="I26" s="567"/>
      <c r="J26" s="567"/>
      <c r="K26" s="567"/>
      <c r="L26" s="567"/>
      <c r="M26" s="567"/>
      <c r="N26" s="632"/>
      <c r="O26" s="632"/>
      <c r="P26" s="632"/>
      <c r="Q26" s="632"/>
      <c r="R26" s="632"/>
      <c r="S26" s="632"/>
      <c r="T26" s="632"/>
      <c r="U26" s="632"/>
      <c r="V26" s="632"/>
      <c r="W26" s="632"/>
      <c r="X26" s="632"/>
      <c r="Y26" s="632"/>
      <c r="Z26" s="632"/>
      <c r="AA26" s="632"/>
      <c r="AB26" s="632"/>
      <c r="AC26" s="632"/>
      <c r="AD26" s="632"/>
      <c r="AE26" s="632"/>
      <c r="AF26" s="632"/>
      <c r="AG26" s="632"/>
      <c r="AH26" s="632"/>
      <c r="AI26" s="632"/>
    </row>
    <row r="28" spans="1:35" ht="13">
      <c r="A28" s="137" t="s">
        <v>2757</v>
      </c>
    </row>
    <row r="29" spans="1:35">
      <c r="A29" s="28" t="s">
        <v>2811</v>
      </c>
    </row>
    <row r="30" spans="1:35">
      <c r="A30" s="28" t="s">
        <v>2753</v>
      </c>
    </row>
    <row r="31" spans="1:35">
      <c r="A31" s="28" t="s">
        <v>2754</v>
      </c>
    </row>
    <row r="32" spans="1:35">
      <c r="A32" s="793" t="s">
        <v>3275</v>
      </c>
    </row>
    <row r="33" spans="1:16" ht="13" thickBot="1">
      <c r="A33" s="28" t="s">
        <v>2812</v>
      </c>
    </row>
    <row r="34" spans="1:16" ht="15" customHeight="1" thickBot="1">
      <c r="A34" s="633">
        <v>2019</v>
      </c>
      <c r="B34" s="898" t="s">
        <v>1478</v>
      </c>
      <c r="C34" s="899"/>
      <c r="D34" s="899"/>
      <c r="E34" s="899"/>
      <c r="F34" s="899"/>
      <c r="G34" s="899"/>
      <c r="H34" s="899"/>
      <c r="I34" s="899"/>
      <c r="J34" s="899"/>
      <c r="K34" s="900"/>
    </row>
    <row r="35" spans="1:16" ht="42.5" thickBot="1">
      <c r="A35" s="634" t="s">
        <v>1479</v>
      </c>
      <c r="B35" s="635" t="s">
        <v>83</v>
      </c>
      <c r="C35" s="635" t="s">
        <v>43</v>
      </c>
      <c r="D35" s="635" t="s">
        <v>92</v>
      </c>
      <c r="E35" s="635" t="s">
        <v>98</v>
      </c>
      <c r="F35" s="635" t="s">
        <v>136</v>
      </c>
      <c r="G35" s="635" t="s">
        <v>91</v>
      </c>
      <c r="H35" s="635" t="s">
        <v>59</v>
      </c>
      <c r="I35" s="636" t="s">
        <v>2661</v>
      </c>
      <c r="J35" s="635" t="s">
        <v>1348</v>
      </c>
      <c r="K35" s="637" t="s">
        <v>1480</v>
      </c>
    </row>
    <row r="36" spans="1:16" ht="14.25" customHeight="1">
      <c r="A36" s="189" t="s">
        <v>2423</v>
      </c>
      <c r="B36" s="161">
        <f t="shared" ref="B36:H36" si="0">B46</f>
        <v>12.674382925280261</v>
      </c>
      <c r="C36" s="161">
        <f t="shared" si="0"/>
        <v>12.409601347557551</v>
      </c>
      <c r="D36" s="161">
        <f t="shared" si="0"/>
        <v>11.039028938692597</v>
      </c>
      <c r="E36" s="161">
        <f t="shared" si="0"/>
        <v>16.93539418403493</v>
      </c>
      <c r="F36" s="161">
        <f t="shared" si="0"/>
        <v>9.7972155352575978</v>
      </c>
      <c r="G36" s="161">
        <f t="shared" si="0"/>
        <v>9.4830958578457185</v>
      </c>
      <c r="H36" s="161">
        <f t="shared" si="0"/>
        <v>11.8968009412292</v>
      </c>
      <c r="I36" s="161"/>
      <c r="J36" s="161"/>
      <c r="K36" s="158" t="s">
        <v>70</v>
      </c>
    </row>
    <row r="37" spans="1:16">
      <c r="A37" s="160" t="s">
        <v>1330</v>
      </c>
      <c r="B37" s="161">
        <f>B54</f>
        <v>19.899772474743308</v>
      </c>
      <c r="C37" s="161">
        <f>C54</f>
        <v>11.761027925394984</v>
      </c>
      <c r="D37" s="161">
        <f>D54</f>
        <v>13.723009731896925</v>
      </c>
      <c r="E37" s="161">
        <f>E54</f>
        <v>15.18644230782844</v>
      </c>
      <c r="F37" s="161"/>
      <c r="G37" s="161">
        <f>G54</f>
        <v>14.695949051824556</v>
      </c>
      <c r="H37" s="161">
        <f>H54</f>
        <v>19.394793971124276</v>
      </c>
      <c r="I37" s="161"/>
      <c r="J37" s="161">
        <f>'EIA Form 923'!Y2086</f>
        <v>15.033228966217488</v>
      </c>
      <c r="K37" s="158" t="s">
        <v>71</v>
      </c>
    </row>
    <row r="38" spans="1:16" ht="13">
      <c r="A38" s="162" t="s">
        <v>1331</v>
      </c>
      <c r="B38" s="163"/>
      <c r="C38" s="163"/>
      <c r="D38" s="163"/>
      <c r="E38" s="163"/>
      <c r="F38" s="163"/>
      <c r="G38" s="163"/>
      <c r="H38" s="163"/>
      <c r="I38" s="163"/>
      <c r="J38" s="163"/>
      <c r="K38" s="159" t="s">
        <v>1383</v>
      </c>
      <c r="P38" s="168" t="s">
        <v>2906</v>
      </c>
    </row>
    <row r="39" spans="1:16" ht="13">
      <c r="A39" s="160" t="s">
        <v>2673</v>
      </c>
      <c r="B39" s="161">
        <f>'EIA Form 923'!Z2091</f>
        <v>11.648841672404059</v>
      </c>
      <c r="C39" s="161">
        <f>'EIA Form 923'!Z2116</f>
        <v>10.830095452445503</v>
      </c>
      <c r="D39" s="161">
        <f>'EIA Form 923'!Z2141</f>
        <v>22.502601126248273</v>
      </c>
      <c r="E39" s="161">
        <f>'EIA Form 923'!Z2166</f>
        <v>8.760046044907229</v>
      </c>
      <c r="F39" s="161">
        <f>'EIA Form 923'!Z2216</f>
        <v>8.9550450609770014</v>
      </c>
      <c r="G39" s="161">
        <f>'EIA Form 923'!Z2241</f>
        <v>23.612903225806452</v>
      </c>
      <c r="H39" s="161">
        <f>'EIA Form 923'!Z2191</f>
        <v>8.8090045300062165</v>
      </c>
      <c r="I39" s="161"/>
      <c r="J39" s="161"/>
      <c r="K39" s="158" t="s">
        <v>48</v>
      </c>
      <c r="P39" s="168" t="s">
        <v>2819</v>
      </c>
    </row>
    <row r="40" spans="1:16">
      <c r="A40" s="160" t="s">
        <v>1333</v>
      </c>
      <c r="B40" s="161">
        <f t="shared" ref="B40:H40" si="1">B46</f>
        <v>12.674382925280261</v>
      </c>
      <c r="C40" s="161">
        <f>C46</f>
        <v>12.409601347557551</v>
      </c>
      <c r="D40" s="161">
        <f t="shared" si="1"/>
        <v>11.039028938692597</v>
      </c>
      <c r="E40" s="161">
        <f t="shared" si="1"/>
        <v>16.93539418403493</v>
      </c>
      <c r="F40" s="161">
        <f>F46</f>
        <v>9.7972155352575978</v>
      </c>
      <c r="G40" s="161">
        <f t="shared" si="1"/>
        <v>9.4830958578457185</v>
      </c>
      <c r="H40" s="161">
        <f t="shared" si="1"/>
        <v>11.8968009412292</v>
      </c>
      <c r="I40" s="161"/>
      <c r="J40" s="161"/>
      <c r="K40" s="158" t="s">
        <v>70</v>
      </c>
      <c r="P40" s="32" t="s">
        <v>2820</v>
      </c>
    </row>
    <row r="41" spans="1:16">
      <c r="A41" s="162" t="s">
        <v>1334</v>
      </c>
      <c r="B41" s="163">
        <v>0</v>
      </c>
      <c r="C41" s="163">
        <v>0</v>
      </c>
      <c r="D41" s="163">
        <v>0</v>
      </c>
      <c r="E41" s="163">
        <v>0</v>
      </c>
      <c r="F41" s="163">
        <v>0</v>
      </c>
      <c r="G41" s="163">
        <v>0</v>
      </c>
      <c r="H41" s="163">
        <v>0</v>
      </c>
      <c r="I41" s="163"/>
      <c r="J41" s="163"/>
      <c r="K41" s="159" t="s">
        <v>1383</v>
      </c>
      <c r="P41" s="32" t="s">
        <v>2824</v>
      </c>
    </row>
    <row r="42" spans="1:16">
      <c r="A42" s="160" t="s">
        <v>3261</v>
      </c>
      <c r="B42" s="161"/>
      <c r="C42" s="161"/>
      <c r="D42" s="161"/>
      <c r="E42" s="161"/>
      <c r="F42" s="161"/>
      <c r="G42" s="161"/>
      <c r="H42" s="161"/>
      <c r="I42" s="161"/>
      <c r="J42" s="161"/>
      <c r="K42" s="158" t="s">
        <v>3262</v>
      </c>
      <c r="P42" s="32" t="s">
        <v>2825</v>
      </c>
    </row>
    <row r="43" spans="1:16">
      <c r="A43" s="162" t="s">
        <v>1336</v>
      </c>
      <c r="B43" s="163">
        <v>0</v>
      </c>
      <c r="C43" s="163">
        <v>0</v>
      </c>
      <c r="D43" s="163">
        <v>0</v>
      </c>
      <c r="E43" s="163">
        <v>0</v>
      </c>
      <c r="F43" s="163">
        <v>0</v>
      </c>
      <c r="G43" s="163">
        <v>0</v>
      </c>
      <c r="H43" s="163">
        <v>0</v>
      </c>
      <c r="I43" s="163"/>
      <c r="J43" s="163"/>
      <c r="K43" s="159" t="s">
        <v>1383</v>
      </c>
    </row>
    <row r="44" spans="1:16">
      <c r="A44" s="162" t="s">
        <v>1337</v>
      </c>
      <c r="B44" s="163">
        <v>0</v>
      </c>
      <c r="C44" s="163">
        <v>0</v>
      </c>
      <c r="D44" s="163">
        <v>0</v>
      </c>
      <c r="E44" s="163">
        <v>0</v>
      </c>
      <c r="F44" s="163">
        <v>0</v>
      </c>
      <c r="G44" s="163">
        <v>0</v>
      </c>
      <c r="H44" s="163">
        <v>0</v>
      </c>
      <c r="I44" s="163"/>
      <c r="J44" s="163"/>
      <c r="K44" s="159" t="s">
        <v>1383</v>
      </c>
      <c r="P44" s="32" t="s">
        <v>2821</v>
      </c>
    </row>
    <row r="45" spans="1:16">
      <c r="A45" s="162" t="s">
        <v>1338</v>
      </c>
      <c r="B45" s="163"/>
      <c r="C45" s="163"/>
      <c r="D45" s="163"/>
      <c r="E45" s="163"/>
      <c r="F45" s="163"/>
      <c r="G45" s="163"/>
      <c r="H45" s="163"/>
      <c r="I45" s="163"/>
      <c r="J45" s="163"/>
      <c r="K45" s="159" t="s">
        <v>1383</v>
      </c>
      <c r="P45" s="28" t="s">
        <v>2822</v>
      </c>
    </row>
    <row r="46" spans="1:16">
      <c r="A46" s="160" t="s">
        <v>1481</v>
      </c>
      <c r="B46" s="161">
        <f>'EIA Form 923'!Z2103</f>
        <v>12.674382925280261</v>
      </c>
      <c r="C46" s="161">
        <f>'EIA Form 923'!Z2128</f>
        <v>12.409601347557551</v>
      </c>
      <c r="D46" s="161">
        <f>'EIA Form 923'!Z2153</f>
        <v>11.039028938692597</v>
      </c>
      <c r="E46" s="161">
        <f>'EIA Form 923'!Z2178</f>
        <v>16.93539418403493</v>
      </c>
      <c r="F46" s="161">
        <f>'EIA Form 923'!Z2228</f>
        <v>9.7972155352575978</v>
      </c>
      <c r="G46" s="161">
        <f>'EIA Form 923'!Z2253</f>
        <v>9.4830958578457185</v>
      </c>
      <c r="H46" s="161">
        <f>'EIA Form 923'!Z2203</f>
        <v>11.8968009412292</v>
      </c>
      <c r="I46" s="161"/>
      <c r="J46" s="161">
        <f>'EIA Form 923'!Y2087</f>
        <v>11.67175105959517</v>
      </c>
      <c r="K46" s="158" t="s">
        <v>65</v>
      </c>
      <c r="P46" s="28" t="s">
        <v>2823</v>
      </c>
    </row>
    <row r="47" spans="1:16">
      <c r="A47" s="160" t="s">
        <v>1340</v>
      </c>
      <c r="B47" s="161">
        <f>'EIA Form 923'!Z2093</f>
        <v>18.402678972860112</v>
      </c>
      <c r="C47" s="161">
        <f>'EIA Form 923'!Z2118</f>
        <v>18.519500548663196</v>
      </c>
      <c r="D47" s="161">
        <f>'EIA Form 923'!Z2143</f>
        <v>22.469902418461146</v>
      </c>
      <c r="E47" s="161">
        <f>'EIA Form 923'!Z2168</f>
        <v>19.912683000528286</v>
      </c>
      <c r="F47" s="161"/>
      <c r="G47" s="161"/>
      <c r="H47" s="161">
        <f>'EIA Form 923'!Z2193</f>
        <v>17.343734080747961</v>
      </c>
      <c r="I47" s="161"/>
      <c r="J47" s="161"/>
      <c r="K47" s="158" t="s">
        <v>1384</v>
      </c>
      <c r="P47" s="28" t="s">
        <v>2933</v>
      </c>
    </row>
    <row r="48" spans="1:16">
      <c r="A48" s="160" t="s">
        <v>2674</v>
      </c>
      <c r="B48" s="161">
        <f>'EIA Form 923'!Z2092</f>
        <v>7.5594083076040963</v>
      </c>
      <c r="C48" s="161">
        <f>'EIA Form 923'!Z2117</f>
        <v>7.2452012922928439</v>
      </c>
      <c r="D48" s="161">
        <f>'EIA Form 923'!Z2142</f>
        <v>7.532307292608639</v>
      </c>
      <c r="E48" s="161">
        <f>'EIA Form 923'!Z2167</f>
        <v>7.4186243171225934</v>
      </c>
      <c r="F48" s="161">
        <f>'EIA Form 923'!Z2217</f>
        <v>7.631413885493048</v>
      </c>
      <c r="G48" s="161">
        <f>'EIA Form 923'!Z2242</f>
        <v>16.264034696607354</v>
      </c>
      <c r="H48" s="161">
        <f>'EIA Form 923'!Z2192</f>
        <v>7.9322918902625013</v>
      </c>
      <c r="I48" s="161"/>
      <c r="J48" s="161"/>
      <c r="K48" s="158" t="s">
        <v>41</v>
      </c>
      <c r="P48" s="28" t="s">
        <v>2854</v>
      </c>
    </row>
    <row r="49" spans="1:21">
      <c r="A49" s="162" t="s">
        <v>1342</v>
      </c>
      <c r="B49" s="163">
        <v>0</v>
      </c>
      <c r="C49" s="163">
        <v>0</v>
      </c>
      <c r="D49" s="163">
        <v>0</v>
      </c>
      <c r="E49" s="163">
        <v>0</v>
      </c>
      <c r="F49" s="163">
        <v>0</v>
      </c>
      <c r="G49" s="163">
        <v>0</v>
      </c>
      <c r="H49" s="163">
        <v>0</v>
      </c>
      <c r="I49" s="163"/>
      <c r="J49" s="163"/>
      <c r="K49" s="159" t="s">
        <v>1383</v>
      </c>
      <c r="P49" s="28" t="s">
        <v>2907</v>
      </c>
    </row>
    <row r="50" spans="1:21">
      <c r="A50" s="160" t="s">
        <v>1343</v>
      </c>
      <c r="B50" s="161">
        <f>'EIA Form 923'!Z2091</f>
        <v>11.648841672404059</v>
      </c>
      <c r="C50" s="161"/>
      <c r="D50" s="161"/>
      <c r="E50" s="161"/>
      <c r="F50" s="161"/>
      <c r="G50" s="161">
        <f>'EIA Form 923'!Z2241</f>
        <v>23.612903225806452</v>
      </c>
      <c r="H50" s="161"/>
      <c r="I50" s="161"/>
      <c r="J50" s="161"/>
      <c r="K50" s="158" t="s">
        <v>48</v>
      </c>
    </row>
    <row r="51" spans="1:21" ht="13.5" thickBot="1">
      <c r="A51" s="162" t="s">
        <v>1344</v>
      </c>
      <c r="B51" s="163">
        <v>0</v>
      </c>
      <c r="C51" s="163">
        <v>0</v>
      </c>
      <c r="D51" s="163">
        <v>0</v>
      </c>
      <c r="E51" s="163">
        <v>0</v>
      </c>
      <c r="F51" s="163">
        <v>0</v>
      </c>
      <c r="G51" s="163">
        <v>0</v>
      </c>
      <c r="H51" s="163">
        <v>0</v>
      </c>
      <c r="I51" s="163"/>
      <c r="J51" s="163"/>
      <c r="K51" s="159" t="s">
        <v>1383</v>
      </c>
      <c r="P51" s="168" t="s">
        <v>2696</v>
      </c>
    </row>
    <row r="52" spans="1:21" ht="13.5" thickBot="1">
      <c r="A52" s="160" t="s">
        <v>1345</v>
      </c>
      <c r="B52" s="161">
        <f>B47</f>
        <v>18.402678972860112</v>
      </c>
      <c r="C52" s="161">
        <f t="shared" ref="C52:H52" si="2">C47</f>
        <v>18.519500548663196</v>
      </c>
      <c r="D52" s="161">
        <f t="shared" si="2"/>
        <v>22.469902418461146</v>
      </c>
      <c r="E52" s="161">
        <f t="shared" si="2"/>
        <v>19.912683000528286</v>
      </c>
      <c r="F52" s="161"/>
      <c r="G52" s="161"/>
      <c r="H52" s="161">
        <f t="shared" si="2"/>
        <v>17.343734080747961</v>
      </c>
      <c r="I52" s="161"/>
      <c r="J52" s="161"/>
      <c r="K52" s="158" t="str">
        <f>K47</f>
        <v>49% MSN &amp; 51% MSB</v>
      </c>
      <c r="P52" s="742">
        <v>2019</v>
      </c>
      <c r="Q52" s="698">
        <v>389744</v>
      </c>
      <c r="R52" s="322">
        <v>44288</v>
      </c>
    </row>
    <row r="53" spans="1:21">
      <c r="A53" s="162" t="s">
        <v>1346</v>
      </c>
      <c r="B53" s="163">
        <v>0</v>
      </c>
      <c r="C53" s="163">
        <v>0</v>
      </c>
      <c r="D53" s="163">
        <v>0</v>
      </c>
      <c r="E53" s="163">
        <v>0</v>
      </c>
      <c r="F53" s="163">
        <v>0</v>
      </c>
      <c r="G53" s="163">
        <v>0</v>
      </c>
      <c r="H53" s="163">
        <v>0</v>
      </c>
      <c r="I53" s="163"/>
      <c r="J53" s="163"/>
      <c r="K53" s="159" t="s">
        <v>1383</v>
      </c>
      <c r="P53" s="28" t="s">
        <v>2908</v>
      </c>
    </row>
    <row r="54" spans="1:21" ht="13" thickBot="1">
      <c r="A54" s="164" t="s">
        <v>1347</v>
      </c>
      <c r="B54" s="165">
        <f>'EIA Form 923'!Z2106</f>
        <v>19.899772474743308</v>
      </c>
      <c r="C54" s="165">
        <f>'EIA Form 923'!Z2131</f>
        <v>11.761027925394984</v>
      </c>
      <c r="D54" s="165">
        <f>'EIA Form 923'!Z2156</f>
        <v>13.723009731896925</v>
      </c>
      <c r="E54" s="165">
        <f>'EIA Form 923'!Z2181</f>
        <v>15.18644230782844</v>
      </c>
      <c r="F54" s="165"/>
      <c r="G54" s="165">
        <f>'EIA Form 923'!Z2256</f>
        <v>14.695949051824556</v>
      </c>
      <c r="H54" s="165">
        <f>'EIA Form 923'!Z2206</f>
        <v>19.394793971124276</v>
      </c>
      <c r="I54" s="165"/>
      <c r="J54" s="165"/>
      <c r="K54" s="638" t="s">
        <v>71</v>
      </c>
      <c r="M54" s="639"/>
      <c r="P54" s="32" t="s">
        <v>2916</v>
      </c>
      <c r="R54" s="32"/>
    </row>
    <row r="55" spans="1:21" s="32" customFormat="1">
      <c r="B55" s="640"/>
      <c r="C55" s="640"/>
      <c r="D55" s="640"/>
      <c r="E55" s="640"/>
      <c r="F55" s="640"/>
      <c r="G55" s="640"/>
      <c r="H55" s="640"/>
      <c r="I55" s="640"/>
      <c r="J55" s="640"/>
      <c r="K55" s="33"/>
      <c r="M55" s="177"/>
      <c r="P55" s="28"/>
      <c r="Q55" s="28"/>
      <c r="R55" s="28"/>
    </row>
    <row r="56" spans="1:21" ht="13">
      <c r="A56" s="89" t="s">
        <v>2813</v>
      </c>
      <c r="C56" s="32"/>
      <c r="D56" s="32"/>
      <c r="F56" s="32"/>
      <c r="G56" s="32"/>
      <c r="J56" s="32"/>
      <c r="K56" s="32"/>
      <c r="P56" s="89" t="s">
        <v>2910</v>
      </c>
      <c r="Q56" s="32"/>
      <c r="R56" s="32"/>
    </row>
    <row r="57" spans="1:21">
      <c r="A57" s="28" t="s">
        <v>2905</v>
      </c>
      <c r="P57" s="28" t="s">
        <v>2911</v>
      </c>
      <c r="Q57" s="32"/>
      <c r="R57" s="32"/>
      <c r="S57" s="32"/>
      <c r="T57" s="32"/>
      <c r="U57" s="32"/>
    </row>
    <row r="58" spans="1:21">
      <c r="A58" s="28" t="s">
        <v>2814</v>
      </c>
      <c r="P58" s="33" t="s">
        <v>2881</v>
      </c>
      <c r="Q58" s="32"/>
      <c r="R58" s="32"/>
      <c r="S58" s="32"/>
      <c r="T58" s="32"/>
      <c r="U58" s="32"/>
    </row>
    <row r="59" spans="1:21">
      <c r="A59" s="28" t="s">
        <v>2815</v>
      </c>
      <c r="P59" s="28" t="s">
        <v>2882</v>
      </c>
      <c r="Q59" s="32"/>
      <c r="R59" s="32"/>
      <c r="S59" s="32"/>
      <c r="T59" s="32"/>
      <c r="U59" s="32"/>
    </row>
    <row r="60" spans="1:21" ht="13">
      <c r="A60" s="89" t="s">
        <v>2816</v>
      </c>
      <c r="P60" s="28" t="s">
        <v>2826</v>
      </c>
      <c r="Q60" s="32"/>
      <c r="R60" s="32"/>
      <c r="S60" s="32"/>
      <c r="T60" s="32"/>
      <c r="U60" s="32"/>
    </row>
    <row r="61" spans="1:21" ht="13">
      <c r="A61" s="89" t="s">
        <v>2817</v>
      </c>
      <c r="P61" s="145" t="s">
        <v>2884</v>
      </c>
      <c r="Q61" s="32"/>
      <c r="R61" s="32"/>
      <c r="S61" s="32"/>
      <c r="T61" s="32"/>
      <c r="U61" s="32"/>
    </row>
    <row r="62" spans="1:21">
      <c r="A62" s="28" t="s">
        <v>2818</v>
      </c>
      <c r="P62" s="145" t="s">
        <v>2883</v>
      </c>
      <c r="Q62" s="32"/>
      <c r="R62" s="32"/>
      <c r="S62" s="32"/>
      <c r="T62" s="32"/>
      <c r="U62" s="32"/>
    </row>
    <row r="63" spans="1:21" ht="13">
      <c r="A63" s="28" t="s">
        <v>2855</v>
      </c>
      <c r="P63" s="168" t="s">
        <v>2912</v>
      </c>
      <c r="S63" s="32"/>
      <c r="T63" s="32"/>
      <c r="U63" s="32"/>
    </row>
    <row r="64" spans="1:21" ht="13" thickBot="1">
      <c r="Q64" s="32"/>
      <c r="R64" s="32"/>
      <c r="S64" s="32"/>
      <c r="T64" s="32"/>
      <c r="U64" s="32"/>
    </row>
    <row r="65" spans="1:42" ht="14.5" thickBot="1">
      <c r="A65" s="886" t="s">
        <v>1611</v>
      </c>
      <c r="B65" s="887"/>
      <c r="C65" s="887"/>
      <c r="D65" s="887"/>
      <c r="E65" s="887"/>
      <c r="F65" s="887"/>
      <c r="G65" s="887"/>
      <c r="H65" s="887"/>
      <c r="I65" s="887"/>
      <c r="J65" s="887"/>
      <c r="K65" s="887"/>
      <c r="L65" s="887"/>
      <c r="M65" s="888"/>
      <c r="N65" s="137"/>
      <c r="P65" s="886" t="s">
        <v>2827</v>
      </c>
      <c r="Q65" s="887"/>
      <c r="R65" s="887"/>
      <c r="S65" s="887"/>
      <c r="T65" s="887"/>
      <c r="U65" s="887"/>
      <c r="V65" s="887"/>
      <c r="W65" s="887"/>
      <c r="X65" s="887"/>
      <c r="Y65" s="887"/>
      <c r="Z65" s="887"/>
      <c r="AA65" s="887"/>
      <c r="AB65" s="887"/>
      <c r="AC65" s="887"/>
      <c r="AD65" s="887"/>
      <c r="AE65" s="887"/>
      <c r="AF65" s="887"/>
      <c r="AG65" s="887"/>
      <c r="AH65" s="888"/>
      <c r="AP65" s="145"/>
    </row>
    <row r="66" spans="1:42" ht="13.5" customHeight="1" thickBot="1">
      <c r="A66" s="878" t="s">
        <v>1356</v>
      </c>
      <c r="B66" s="879"/>
      <c r="C66" s="879"/>
      <c r="D66" s="879"/>
      <c r="E66" s="879"/>
      <c r="F66" s="879"/>
      <c r="G66" s="879"/>
      <c r="H66" s="879"/>
      <c r="I66" s="879"/>
      <c r="J66" s="879"/>
      <c r="K66" s="879"/>
      <c r="L66" s="879"/>
      <c r="M66" s="882"/>
      <c r="N66" s="138"/>
      <c r="P66" s="872" t="s">
        <v>1370</v>
      </c>
      <c r="Q66" s="878" t="s">
        <v>1356</v>
      </c>
      <c r="R66" s="879"/>
      <c r="S66" s="879"/>
      <c r="T66" s="879"/>
      <c r="U66" s="879"/>
      <c r="V66" s="879"/>
      <c r="W66" s="879"/>
      <c r="X66" s="879"/>
      <c r="Y66" s="879"/>
      <c r="Z66" s="879"/>
      <c r="AA66" s="879"/>
      <c r="AB66" s="879"/>
      <c r="AC66" s="879"/>
      <c r="AD66" s="879"/>
      <c r="AE66" s="880"/>
      <c r="AF66" s="880"/>
      <c r="AG66" s="880"/>
      <c r="AH66" s="881"/>
      <c r="AP66" s="138"/>
    </row>
    <row r="67" spans="1:42" ht="28.5" customHeight="1" thickBot="1">
      <c r="A67" s="908" t="s">
        <v>1361</v>
      </c>
      <c r="B67" s="902" t="s">
        <v>1374</v>
      </c>
      <c r="C67" s="901" t="s">
        <v>1375</v>
      </c>
      <c r="D67" s="902" t="s">
        <v>1372</v>
      </c>
      <c r="E67" s="901" t="s">
        <v>1373</v>
      </c>
      <c r="F67" s="902" t="s">
        <v>1379</v>
      </c>
      <c r="G67" s="901" t="s">
        <v>1380</v>
      </c>
      <c r="H67" s="902" t="s">
        <v>1388</v>
      </c>
      <c r="I67" s="901" t="s">
        <v>1389</v>
      </c>
      <c r="J67" s="902" t="s">
        <v>1390</v>
      </c>
      <c r="K67" s="901" t="s">
        <v>1391</v>
      </c>
      <c r="L67" s="903" t="s">
        <v>1392</v>
      </c>
      <c r="M67" s="874" t="s">
        <v>1393</v>
      </c>
      <c r="N67" s="33"/>
      <c r="P67" s="905" t="s">
        <v>1365</v>
      </c>
      <c r="Q67" s="889" t="s">
        <v>232</v>
      </c>
      <c r="R67" s="890"/>
      <c r="S67" s="891"/>
      <c r="T67" s="878" t="s">
        <v>212</v>
      </c>
      <c r="U67" s="879"/>
      <c r="V67" s="882"/>
      <c r="W67" s="878" t="s">
        <v>228</v>
      </c>
      <c r="X67" s="879"/>
      <c r="Y67" s="882"/>
      <c r="Z67" s="879" t="s">
        <v>229</v>
      </c>
      <c r="AA67" s="879"/>
      <c r="AB67" s="882"/>
      <c r="AC67" s="878" t="s">
        <v>231</v>
      </c>
      <c r="AD67" s="879"/>
      <c r="AE67" s="882"/>
      <c r="AF67" s="879" t="s">
        <v>230</v>
      </c>
      <c r="AG67" s="879"/>
      <c r="AH67" s="882"/>
    </row>
    <row r="68" spans="1:42" ht="29.25" customHeight="1" thickBot="1">
      <c r="A68" s="907"/>
      <c r="B68" s="877"/>
      <c r="C68" s="875"/>
      <c r="D68" s="877"/>
      <c r="E68" s="875"/>
      <c r="F68" s="877" t="s">
        <v>1362</v>
      </c>
      <c r="G68" s="875" t="s">
        <v>1362</v>
      </c>
      <c r="H68" s="877" t="s">
        <v>1362</v>
      </c>
      <c r="I68" s="875" t="s">
        <v>1362</v>
      </c>
      <c r="J68" s="877" t="s">
        <v>1362</v>
      </c>
      <c r="K68" s="875" t="s">
        <v>1362</v>
      </c>
      <c r="L68" s="904" t="s">
        <v>1362</v>
      </c>
      <c r="M68" s="875" t="s">
        <v>1362</v>
      </c>
      <c r="N68" s="33"/>
      <c r="P68" s="873"/>
      <c r="Q68" s="699" t="s">
        <v>1362</v>
      </c>
      <c r="R68" s="700" t="s">
        <v>1363</v>
      </c>
      <c r="S68" s="701" t="s">
        <v>1364</v>
      </c>
      <c r="T68" s="641" t="s">
        <v>1362</v>
      </c>
      <c r="U68" s="642" t="s">
        <v>1363</v>
      </c>
      <c r="V68" s="643" t="s">
        <v>1364</v>
      </c>
      <c r="W68" s="641" t="s">
        <v>1362</v>
      </c>
      <c r="X68" s="642" t="s">
        <v>1363</v>
      </c>
      <c r="Y68" s="643" t="s">
        <v>1364</v>
      </c>
      <c r="Z68" s="644" t="s">
        <v>1362</v>
      </c>
      <c r="AA68" s="642" t="s">
        <v>1363</v>
      </c>
      <c r="AB68" s="643" t="s">
        <v>1364</v>
      </c>
      <c r="AC68" s="641" t="s">
        <v>1362</v>
      </c>
      <c r="AD68" s="642" t="s">
        <v>1363</v>
      </c>
      <c r="AE68" s="643" t="s">
        <v>1364</v>
      </c>
      <c r="AF68" s="644" t="s">
        <v>1362</v>
      </c>
      <c r="AG68" s="642" t="s">
        <v>1363</v>
      </c>
      <c r="AH68" s="643" t="s">
        <v>1364</v>
      </c>
    </row>
    <row r="69" spans="1:42" ht="14">
      <c r="A69" s="187" t="s">
        <v>2423</v>
      </c>
      <c r="B69" s="645"/>
      <c r="C69" s="646"/>
      <c r="D69" s="647">
        <f t="shared" ref="D69:D87" si="3">T69*$C36</f>
        <v>0</v>
      </c>
      <c r="E69" s="648">
        <f t="shared" ref="E69:E87" si="4">U69*$C36</f>
        <v>0</v>
      </c>
      <c r="F69" s="647">
        <f t="shared" ref="F69:F87" si="5">W69*$C36</f>
        <v>0</v>
      </c>
      <c r="G69" s="648">
        <f t="shared" ref="G69:G87" si="6">X69*$C36</f>
        <v>0</v>
      </c>
      <c r="H69" s="647">
        <f t="shared" ref="H69:H87" si="7">Z69*$C36</f>
        <v>0</v>
      </c>
      <c r="I69" s="648">
        <f t="shared" ref="I69:I87" si="8">AA69*$C36</f>
        <v>0</v>
      </c>
      <c r="J69" s="647">
        <f t="shared" ref="J69:J87" si="9">AC69*$C36</f>
        <v>0</v>
      </c>
      <c r="K69" s="648">
        <f t="shared" ref="K69:K87" si="10">AD69*$C36</f>
        <v>0</v>
      </c>
      <c r="L69" s="649">
        <f t="shared" ref="L69:L87" si="11">AF69*$C36</f>
        <v>0</v>
      </c>
      <c r="M69" s="648">
        <f t="shared" ref="M69:M87" si="12">AG69*$C36</f>
        <v>0</v>
      </c>
      <c r="N69" s="33"/>
      <c r="P69" s="187" t="s">
        <v>2423</v>
      </c>
      <c r="Q69" s="702">
        <v>0</v>
      </c>
      <c r="R69" s="702">
        <v>0</v>
      </c>
      <c r="S69" s="702">
        <v>0</v>
      </c>
      <c r="T69" s="703">
        <v>0</v>
      </c>
      <c r="U69" s="703">
        <v>0</v>
      </c>
      <c r="V69" s="703">
        <v>0</v>
      </c>
      <c r="W69" s="703">
        <v>0</v>
      </c>
      <c r="X69" s="703">
        <v>0</v>
      </c>
      <c r="Y69" s="703">
        <v>0</v>
      </c>
      <c r="Z69" s="703">
        <v>0</v>
      </c>
      <c r="AA69" s="703">
        <v>0</v>
      </c>
      <c r="AB69" s="703">
        <v>0</v>
      </c>
      <c r="AC69" s="703">
        <v>0</v>
      </c>
      <c r="AD69" s="703">
        <v>0</v>
      </c>
      <c r="AE69" s="703">
        <v>0</v>
      </c>
      <c r="AF69" s="703">
        <v>0</v>
      </c>
      <c r="AG69" s="703">
        <v>0</v>
      </c>
      <c r="AH69" s="703">
        <v>0</v>
      </c>
    </row>
    <row r="70" spans="1:42" ht="14">
      <c r="A70" s="650" t="s">
        <v>1330</v>
      </c>
      <c r="B70" s="651"/>
      <c r="C70" s="646"/>
      <c r="D70" s="647">
        <f t="shared" si="3"/>
        <v>0</v>
      </c>
      <c r="E70" s="648">
        <f t="shared" si="4"/>
        <v>0</v>
      </c>
      <c r="F70" s="647">
        <f t="shared" si="5"/>
        <v>0</v>
      </c>
      <c r="G70" s="648">
        <f t="shared" si="6"/>
        <v>0</v>
      </c>
      <c r="H70" s="647">
        <f t="shared" si="7"/>
        <v>0</v>
      </c>
      <c r="I70" s="648">
        <f t="shared" si="8"/>
        <v>0</v>
      </c>
      <c r="J70" s="647">
        <f t="shared" si="9"/>
        <v>0</v>
      </c>
      <c r="K70" s="648">
        <f t="shared" si="10"/>
        <v>0</v>
      </c>
      <c r="L70" s="649">
        <f t="shared" si="11"/>
        <v>0</v>
      </c>
      <c r="M70" s="648">
        <f t="shared" si="12"/>
        <v>0</v>
      </c>
      <c r="N70" s="33"/>
      <c r="P70" s="704" t="s">
        <v>1330</v>
      </c>
      <c r="Q70" s="702">
        <v>312145</v>
      </c>
      <c r="R70" s="702">
        <v>0</v>
      </c>
      <c r="S70" s="702">
        <v>312145</v>
      </c>
      <c r="T70" s="703">
        <v>0</v>
      </c>
      <c r="U70" s="703">
        <v>0</v>
      </c>
      <c r="V70" s="703">
        <v>0</v>
      </c>
      <c r="W70" s="703">
        <v>0</v>
      </c>
      <c r="X70" s="703">
        <v>0</v>
      </c>
      <c r="Y70" s="703">
        <v>0</v>
      </c>
      <c r="Z70" s="703">
        <v>0</v>
      </c>
      <c r="AA70" s="703">
        <v>0</v>
      </c>
      <c r="AB70" s="703">
        <v>0</v>
      </c>
      <c r="AC70" s="703">
        <v>0</v>
      </c>
      <c r="AD70" s="703">
        <v>0</v>
      </c>
      <c r="AE70" s="703">
        <v>0</v>
      </c>
      <c r="AF70" s="703">
        <v>0</v>
      </c>
      <c r="AG70" s="703">
        <v>0</v>
      </c>
      <c r="AH70" s="703">
        <v>0</v>
      </c>
    </row>
    <row r="71" spans="1:42" ht="14">
      <c r="A71" s="650" t="s">
        <v>1331</v>
      </c>
      <c r="B71" s="651"/>
      <c r="C71" s="646"/>
      <c r="D71" s="647">
        <f t="shared" si="3"/>
        <v>0</v>
      </c>
      <c r="E71" s="648">
        <f t="shared" si="4"/>
        <v>0</v>
      </c>
      <c r="F71" s="647">
        <f t="shared" si="5"/>
        <v>0</v>
      </c>
      <c r="G71" s="648">
        <f t="shared" si="6"/>
        <v>0</v>
      </c>
      <c r="H71" s="647">
        <f t="shared" si="7"/>
        <v>0</v>
      </c>
      <c r="I71" s="648">
        <f t="shared" si="8"/>
        <v>0</v>
      </c>
      <c r="J71" s="647">
        <f t="shared" si="9"/>
        <v>0</v>
      </c>
      <c r="K71" s="648">
        <f t="shared" si="10"/>
        <v>0</v>
      </c>
      <c r="L71" s="649">
        <f t="shared" si="11"/>
        <v>0</v>
      </c>
      <c r="M71" s="648">
        <f t="shared" si="12"/>
        <v>0</v>
      </c>
      <c r="N71" s="33"/>
      <c r="P71" s="704" t="s">
        <v>1331</v>
      </c>
      <c r="Q71" s="702">
        <v>0</v>
      </c>
      <c r="R71" s="702">
        <v>0</v>
      </c>
      <c r="S71" s="702">
        <v>0</v>
      </c>
      <c r="T71" s="703">
        <v>0</v>
      </c>
      <c r="U71" s="703">
        <v>0</v>
      </c>
      <c r="V71" s="703">
        <v>0</v>
      </c>
      <c r="W71" s="703">
        <v>0</v>
      </c>
      <c r="X71" s="703">
        <v>0</v>
      </c>
      <c r="Y71" s="703">
        <v>0</v>
      </c>
      <c r="Z71" s="703">
        <v>0</v>
      </c>
      <c r="AA71" s="703">
        <v>0</v>
      </c>
      <c r="AB71" s="703">
        <v>0</v>
      </c>
      <c r="AC71" s="703">
        <v>0</v>
      </c>
      <c r="AD71" s="703">
        <v>0</v>
      </c>
      <c r="AE71" s="703">
        <v>0</v>
      </c>
      <c r="AF71" s="703">
        <v>0</v>
      </c>
      <c r="AG71" s="703">
        <v>0</v>
      </c>
      <c r="AH71" s="703">
        <v>0</v>
      </c>
    </row>
    <row r="72" spans="1:42" ht="14">
      <c r="A72" s="650" t="s">
        <v>1332</v>
      </c>
      <c r="B72" s="651"/>
      <c r="C72" s="646"/>
      <c r="D72" s="647">
        <f t="shared" si="3"/>
        <v>0</v>
      </c>
      <c r="E72" s="648">
        <f t="shared" si="4"/>
        <v>0</v>
      </c>
      <c r="F72" s="647">
        <f t="shared" si="5"/>
        <v>0</v>
      </c>
      <c r="G72" s="648">
        <f t="shared" si="6"/>
        <v>0</v>
      </c>
      <c r="H72" s="647">
        <f t="shared" si="7"/>
        <v>0</v>
      </c>
      <c r="I72" s="648">
        <f t="shared" si="8"/>
        <v>0</v>
      </c>
      <c r="J72" s="647">
        <f t="shared" si="9"/>
        <v>0</v>
      </c>
      <c r="K72" s="648">
        <f t="shared" si="10"/>
        <v>0</v>
      </c>
      <c r="L72" s="649">
        <f t="shared" si="11"/>
        <v>0</v>
      </c>
      <c r="M72" s="648">
        <f t="shared" si="12"/>
        <v>0</v>
      </c>
      <c r="N72" s="33"/>
      <c r="P72" s="704" t="s">
        <v>1332</v>
      </c>
      <c r="Q72" s="702">
        <v>0</v>
      </c>
      <c r="R72" s="702">
        <v>0</v>
      </c>
      <c r="S72" s="702">
        <v>0</v>
      </c>
      <c r="T72" s="703">
        <v>0</v>
      </c>
      <c r="U72" s="703">
        <v>0</v>
      </c>
      <c r="V72" s="703">
        <v>0</v>
      </c>
      <c r="W72" s="703">
        <v>0</v>
      </c>
      <c r="X72" s="703">
        <v>0</v>
      </c>
      <c r="Y72" s="703">
        <v>0</v>
      </c>
      <c r="Z72" s="703">
        <v>0</v>
      </c>
      <c r="AA72" s="703">
        <v>0</v>
      </c>
      <c r="AB72" s="703">
        <v>0</v>
      </c>
      <c r="AC72" s="703">
        <v>0</v>
      </c>
      <c r="AD72" s="703">
        <v>0</v>
      </c>
      <c r="AE72" s="703">
        <v>0</v>
      </c>
      <c r="AF72" s="703">
        <v>0</v>
      </c>
      <c r="AG72" s="703">
        <v>0</v>
      </c>
      <c r="AH72" s="703">
        <v>0</v>
      </c>
    </row>
    <row r="73" spans="1:42" ht="14">
      <c r="A73" s="650" t="s">
        <v>1333</v>
      </c>
      <c r="B73" s="651"/>
      <c r="C73" s="646"/>
      <c r="D73" s="647">
        <f t="shared" si="3"/>
        <v>0</v>
      </c>
      <c r="E73" s="648">
        <f t="shared" si="4"/>
        <v>0</v>
      </c>
      <c r="F73" s="647">
        <f t="shared" si="5"/>
        <v>0</v>
      </c>
      <c r="G73" s="648">
        <f t="shared" si="6"/>
        <v>0</v>
      </c>
      <c r="H73" s="647">
        <f t="shared" si="7"/>
        <v>0</v>
      </c>
      <c r="I73" s="648">
        <f t="shared" si="8"/>
        <v>0</v>
      </c>
      <c r="J73" s="647">
        <f t="shared" si="9"/>
        <v>0</v>
      </c>
      <c r="K73" s="648">
        <f t="shared" si="10"/>
        <v>0</v>
      </c>
      <c r="L73" s="649">
        <f t="shared" si="11"/>
        <v>0</v>
      </c>
      <c r="M73" s="648">
        <f t="shared" si="12"/>
        <v>0</v>
      </c>
      <c r="N73" s="33"/>
      <c r="P73" s="704" t="s">
        <v>1333</v>
      </c>
      <c r="Q73" s="702">
        <v>0</v>
      </c>
      <c r="R73" s="702">
        <v>6163</v>
      </c>
      <c r="S73" s="702">
        <v>6163</v>
      </c>
      <c r="T73" s="703">
        <v>0</v>
      </c>
      <c r="U73" s="703">
        <v>0</v>
      </c>
      <c r="V73" s="703">
        <v>0</v>
      </c>
      <c r="W73" s="703">
        <v>0</v>
      </c>
      <c r="X73" s="703">
        <v>0</v>
      </c>
      <c r="Y73" s="703">
        <v>0</v>
      </c>
      <c r="Z73" s="703">
        <v>0</v>
      </c>
      <c r="AA73" s="703">
        <v>0</v>
      </c>
      <c r="AB73" s="703">
        <v>0</v>
      </c>
      <c r="AC73" s="703">
        <v>0</v>
      </c>
      <c r="AD73" s="703">
        <v>0</v>
      </c>
      <c r="AE73" s="703">
        <v>0</v>
      </c>
      <c r="AF73" s="703">
        <v>0</v>
      </c>
      <c r="AG73" s="703">
        <v>0</v>
      </c>
      <c r="AH73" s="703">
        <v>0</v>
      </c>
    </row>
    <row r="74" spans="1:42" ht="14">
      <c r="A74" s="650" t="s">
        <v>1334</v>
      </c>
      <c r="B74" s="651"/>
      <c r="C74" s="646"/>
      <c r="D74" s="647">
        <f t="shared" si="3"/>
        <v>0</v>
      </c>
      <c r="E74" s="648">
        <f t="shared" si="4"/>
        <v>0</v>
      </c>
      <c r="F74" s="647">
        <f t="shared" si="5"/>
        <v>0</v>
      </c>
      <c r="G74" s="648">
        <f t="shared" si="6"/>
        <v>0</v>
      </c>
      <c r="H74" s="647">
        <f t="shared" si="7"/>
        <v>0</v>
      </c>
      <c r="I74" s="648">
        <f t="shared" si="8"/>
        <v>0</v>
      </c>
      <c r="J74" s="647">
        <f t="shared" si="9"/>
        <v>0</v>
      </c>
      <c r="K74" s="648">
        <f t="shared" si="10"/>
        <v>0</v>
      </c>
      <c r="L74" s="649">
        <f t="shared" si="11"/>
        <v>0</v>
      </c>
      <c r="M74" s="648">
        <f t="shared" si="12"/>
        <v>0</v>
      </c>
      <c r="N74" s="33"/>
      <c r="P74" s="704" t="s">
        <v>1334</v>
      </c>
      <c r="Q74" s="702">
        <v>0</v>
      </c>
      <c r="R74" s="702">
        <v>0</v>
      </c>
      <c r="S74" s="702">
        <v>0</v>
      </c>
      <c r="T74" s="703">
        <v>0</v>
      </c>
      <c r="U74" s="703">
        <v>0</v>
      </c>
      <c r="V74" s="703">
        <v>0</v>
      </c>
      <c r="W74" s="703">
        <v>0</v>
      </c>
      <c r="X74" s="703">
        <v>0</v>
      </c>
      <c r="Y74" s="703">
        <v>0</v>
      </c>
      <c r="Z74" s="703">
        <v>0</v>
      </c>
      <c r="AA74" s="703">
        <v>0</v>
      </c>
      <c r="AB74" s="703">
        <v>0</v>
      </c>
      <c r="AC74" s="703">
        <v>0</v>
      </c>
      <c r="AD74" s="703">
        <v>0</v>
      </c>
      <c r="AE74" s="703">
        <v>0</v>
      </c>
      <c r="AF74" s="703">
        <v>0</v>
      </c>
      <c r="AG74" s="703">
        <v>0</v>
      </c>
      <c r="AH74" s="703">
        <v>0</v>
      </c>
    </row>
    <row r="75" spans="1:42" ht="14">
      <c r="A75" s="650" t="s">
        <v>1335</v>
      </c>
      <c r="B75" s="651"/>
      <c r="C75" s="646"/>
      <c r="D75" s="647">
        <f t="shared" si="3"/>
        <v>0</v>
      </c>
      <c r="E75" s="648">
        <f t="shared" si="4"/>
        <v>0</v>
      </c>
      <c r="F75" s="647">
        <f t="shared" si="5"/>
        <v>0</v>
      </c>
      <c r="G75" s="648">
        <f t="shared" si="6"/>
        <v>0</v>
      </c>
      <c r="H75" s="647">
        <f t="shared" si="7"/>
        <v>0</v>
      </c>
      <c r="I75" s="648">
        <f t="shared" si="8"/>
        <v>0</v>
      </c>
      <c r="J75" s="647">
        <f t="shared" si="9"/>
        <v>0</v>
      </c>
      <c r="K75" s="648">
        <f t="shared" si="10"/>
        <v>0</v>
      </c>
      <c r="L75" s="649">
        <f t="shared" si="11"/>
        <v>0</v>
      </c>
      <c r="M75" s="648">
        <f t="shared" si="12"/>
        <v>0</v>
      </c>
      <c r="N75" s="33"/>
      <c r="P75" s="704" t="s">
        <v>1335</v>
      </c>
      <c r="Q75" s="702">
        <v>180433</v>
      </c>
      <c r="R75" s="702">
        <v>155447</v>
      </c>
      <c r="S75" s="702">
        <v>335880</v>
      </c>
      <c r="T75" s="703">
        <v>0</v>
      </c>
      <c r="U75" s="703">
        <v>0</v>
      </c>
      <c r="V75" s="703">
        <v>0</v>
      </c>
      <c r="W75" s="703">
        <v>0</v>
      </c>
      <c r="X75" s="703">
        <v>0</v>
      </c>
      <c r="Y75" s="703">
        <v>0</v>
      </c>
      <c r="Z75" s="703">
        <v>0</v>
      </c>
      <c r="AA75" s="703">
        <v>0</v>
      </c>
      <c r="AB75" s="703">
        <v>0</v>
      </c>
      <c r="AC75" s="703">
        <v>0</v>
      </c>
      <c r="AD75" s="703">
        <v>0</v>
      </c>
      <c r="AE75" s="703">
        <v>0</v>
      </c>
      <c r="AF75" s="703">
        <v>0</v>
      </c>
      <c r="AG75" s="703">
        <v>0</v>
      </c>
      <c r="AH75" s="703">
        <v>0</v>
      </c>
    </row>
    <row r="76" spans="1:42" ht="14">
      <c r="A76" s="652" t="s">
        <v>1336</v>
      </c>
      <c r="B76" s="653"/>
      <c r="C76" s="646"/>
      <c r="D76" s="647">
        <f t="shared" si="3"/>
        <v>0</v>
      </c>
      <c r="E76" s="648">
        <f t="shared" si="4"/>
        <v>0</v>
      </c>
      <c r="F76" s="647">
        <f t="shared" si="5"/>
        <v>0</v>
      </c>
      <c r="G76" s="648">
        <f t="shared" si="6"/>
        <v>0</v>
      </c>
      <c r="H76" s="647">
        <f t="shared" si="7"/>
        <v>0</v>
      </c>
      <c r="I76" s="648">
        <f t="shared" si="8"/>
        <v>0</v>
      </c>
      <c r="J76" s="647">
        <f t="shared" si="9"/>
        <v>0</v>
      </c>
      <c r="K76" s="648">
        <f t="shared" si="10"/>
        <v>0</v>
      </c>
      <c r="L76" s="649">
        <f t="shared" si="11"/>
        <v>0</v>
      </c>
      <c r="M76" s="648">
        <f t="shared" si="12"/>
        <v>0</v>
      </c>
      <c r="N76" s="33"/>
      <c r="P76" s="142" t="s">
        <v>1336</v>
      </c>
      <c r="Q76" s="702">
        <v>112815</v>
      </c>
      <c r="R76" s="702">
        <v>3903</v>
      </c>
      <c r="S76" s="702">
        <v>116718</v>
      </c>
      <c r="T76" s="703">
        <v>136292</v>
      </c>
      <c r="U76" s="703">
        <v>9907</v>
      </c>
      <c r="V76" s="703">
        <v>146199</v>
      </c>
      <c r="W76" s="703">
        <v>102645</v>
      </c>
      <c r="X76" s="703">
        <v>0</v>
      </c>
      <c r="Y76" s="703">
        <v>102645</v>
      </c>
      <c r="Z76" s="703">
        <v>0</v>
      </c>
      <c r="AA76" s="703">
        <v>0</v>
      </c>
      <c r="AB76" s="703">
        <v>0</v>
      </c>
      <c r="AC76" s="703">
        <v>2584</v>
      </c>
      <c r="AD76" s="703">
        <v>0</v>
      </c>
      <c r="AE76" s="703">
        <v>2584</v>
      </c>
      <c r="AF76" s="703">
        <v>29353</v>
      </c>
      <c r="AG76" s="703">
        <v>0</v>
      </c>
      <c r="AH76" s="703">
        <v>29353</v>
      </c>
    </row>
    <row r="77" spans="1:42" ht="14">
      <c r="A77" s="652" t="s">
        <v>1337</v>
      </c>
      <c r="B77" s="653"/>
      <c r="C77" s="646"/>
      <c r="D77" s="647">
        <f t="shared" si="3"/>
        <v>0</v>
      </c>
      <c r="E77" s="648">
        <f t="shared" si="4"/>
        <v>0</v>
      </c>
      <c r="F77" s="647">
        <f t="shared" si="5"/>
        <v>0</v>
      </c>
      <c r="G77" s="648">
        <f t="shared" si="6"/>
        <v>0</v>
      </c>
      <c r="H77" s="647">
        <f t="shared" si="7"/>
        <v>0</v>
      </c>
      <c r="I77" s="648">
        <f t="shared" si="8"/>
        <v>0</v>
      </c>
      <c r="J77" s="647">
        <f t="shared" si="9"/>
        <v>0</v>
      </c>
      <c r="K77" s="648">
        <f t="shared" si="10"/>
        <v>0</v>
      </c>
      <c r="L77" s="649">
        <f t="shared" si="11"/>
        <v>0</v>
      </c>
      <c r="M77" s="648">
        <f t="shared" si="12"/>
        <v>0</v>
      </c>
      <c r="N77" s="33"/>
      <c r="P77" s="142" t="s">
        <v>1337</v>
      </c>
      <c r="Q77" s="702">
        <v>0</v>
      </c>
      <c r="R77" s="702">
        <v>0</v>
      </c>
      <c r="S77" s="702">
        <v>0</v>
      </c>
      <c r="T77" s="703">
        <v>0</v>
      </c>
      <c r="U77" s="703">
        <v>0</v>
      </c>
      <c r="V77" s="703">
        <v>0</v>
      </c>
      <c r="W77" s="703">
        <v>0</v>
      </c>
      <c r="X77" s="703">
        <v>0</v>
      </c>
      <c r="Y77" s="703">
        <v>0</v>
      </c>
      <c r="Z77" s="703">
        <v>0</v>
      </c>
      <c r="AA77" s="703">
        <v>0</v>
      </c>
      <c r="AB77" s="703">
        <v>0</v>
      </c>
      <c r="AC77" s="703">
        <v>0</v>
      </c>
      <c r="AD77" s="703">
        <v>0</v>
      </c>
      <c r="AE77" s="703">
        <v>0</v>
      </c>
      <c r="AF77" s="703">
        <v>0</v>
      </c>
      <c r="AG77" s="703">
        <v>0</v>
      </c>
      <c r="AH77" s="703">
        <v>0</v>
      </c>
    </row>
    <row r="78" spans="1:42" ht="14">
      <c r="A78" s="650" t="s">
        <v>1338</v>
      </c>
      <c r="B78" s="651"/>
      <c r="C78" s="646"/>
      <c r="D78" s="647">
        <f t="shared" si="3"/>
        <v>0</v>
      </c>
      <c r="E78" s="648">
        <f t="shared" si="4"/>
        <v>0</v>
      </c>
      <c r="F78" s="647">
        <f t="shared" si="5"/>
        <v>0</v>
      </c>
      <c r="G78" s="648">
        <f t="shared" si="6"/>
        <v>0</v>
      </c>
      <c r="H78" s="647">
        <f t="shared" si="7"/>
        <v>0</v>
      </c>
      <c r="I78" s="648">
        <f t="shared" si="8"/>
        <v>0</v>
      </c>
      <c r="J78" s="647">
        <f t="shared" si="9"/>
        <v>0</v>
      </c>
      <c r="K78" s="648">
        <f t="shared" si="10"/>
        <v>0</v>
      </c>
      <c r="L78" s="649">
        <f t="shared" si="11"/>
        <v>0</v>
      </c>
      <c r="M78" s="648">
        <f t="shared" si="12"/>
        <v>0</v>
      </c>
      <c r="N78" s="33"/>
      <c r="P78" s="704" t="s">
        <v>1338</v>
      </c>
      <c r="Q78" s="702">
        <v>0</v>
      </c>
      <c r="R78" s="702">
        <v>0</v>
      </c>
      <c r="S78" s="702">
        <v>0</v>
      </c>
      <c r="T78" s="703">
        <v>0</v>
      </c>
      <c r="U78" s="703">
        <v>0</v>
      </c>
      <c r="V78" s="703">
        <v>0</v>
      </c>
      <c r="W78" s="703">
        <v>0</v>
      </c>
      <c r="X78" s="703">
        <v>0</v>
      </c>
      <c r="Y78" s="703">
        <v>0</v>
      </c>
      <c r="Z78" s="703">
        <v>0</v>
      </c>
      <c r="AA78" s="703">
        <v>0</v>
      </c>
      <c r="AB78" s="703">
        <v>0</v>
      </c>
      <c r="AC78" s="703">
        <v>0</v>
      </c>
      <c r="AD78" s="703">
        <v>0</v>
      </c>
      <c r="AE78" s="703">
        <v>0</v>
      </c>
      <c r="AF78" s="703">
        <v>0</v>
      </c>
      <c r="AG78" s="703">
        <v>0</v>
      </c>
      <c r="AH78" s="703">
        <v>0</v>
      </c>
    </row>
    <row r="79" spans="1:42" ht="14">
      <c r="A79" s="650" t="s">
        <v>1339</v>
      </c>
      <c r="B79" s="651"/>
      <c r="C79" s="646"/>
      <c r="D79" s="647">
        <f t="shared" si="3"/>
        <v>7942.1448624368331</v>
      </c>
      <c r="E79" s="648">
        <f t="shared" si="4"/>
        <v>0</v>
      </c>
      <c r="F79" s="647">
        <f t="shared" si="5"/>
        <v>0</v>
      </c>
      <c r="G79" s="648">
        <f t="shared" si="6"/>
        <v>0</v>
      </c>
      <c r="H79" s="647">
        <f t="shared" si="7"/>
        <v>0</v>
      </c>
      <c r="I79" s="648">
        <f t="shared" si="8"/>
        <v>0</v>
      </c>
      <c r="J79" s="647">
        <f t="shared" si="9"/>
        <v>0</v>
      </c>
      <c r="K79" s="648">
        <f t="shared" si="10"/>
        <v>0</v>
      </c>
      <c r="L79" s="649">
        <f t="shared" si="11"/>
        <v>0</v>
      </c>
      <c r="M79" s="648">
        <f t="shared" si="12"/>
        <v>0</v>
      </c>
      <c r="N79" s="33"/>
      <c r="P79" s="704" t="s">
        <v>1339</v>
      </c>
      <c r="Q79" s="702">
        <v>7077</v>
      </c>
      <c r="R79" s="702">
        <v>0</v>
      </c>
      <c r="S79" s="702">
        <v>7077</v>
      </c>
      <c r="T79" s="703">
        <v>640</v>
      </c>
      <c r="U79" s="703">
        <v>0</v>
      </c>
      <c r="V79" s="703">
        <v>640</v>
      </c>
      <c r="W79" s="703">
        <v>0</v>
      </c>
      <c r="X79" s="703">
        <v>0</v>
      </c>
      <c r="Y79" s="703">
        <v>0</v>
      </c>
      <c r="Z79" s="703">
        <v>0</v>
      </c>
      <c r="AA79" s="703">
        <v>0</v>
      </c>
      <c r="AB79" s="703">
        <v>0</v>
      </c>
      <c r="AC79" s="703">
        <v>0</v>
      </c>
      <c r="AD79" s="703">
        <v>0</v>
      </c>
      <c r="AE79" s="703">
        <v>0</v>
      </c>
      <c r="AF79" s="703">
        <v>0</v>
      </c>
      <c r="AG79" s="703">
        <v>0</v>
      </c>
      <c r="AH79" s="703">
        <v>0</v>
      </c>
    </row>
    <row r="80" spans="1:42" ht="14">
      <c r="A80" s="650" t="s">
        <v>1340</v>
      </c>
      <c r="B80" s="651"/>
      <c r="C80" s="646"/>
      <c r="D80" s="647">
        <f t="shared" si="3"/>
        <v>0</v>
      </c>
      <c r="E80" s="648">
        <f t="shared" si="4"/>
        <v>0</v>
      </c>
      <c r="F80" s="647">
        <f t="shared" si="5"/>
        <v>0</v>
      </c>
      <c r="G80" s="648">
        <f t="shared" si="6"/>
        <v>0</v>
      </c>
      <c r="H80" s="647">
        <f t="shared" si="7"/>
        <v>0</v>
      </c>
      <c r="I80" s="648">
        <f t="shared" si="8"/>
        <v>0</v>
      </c>
      <c r="J80" s="647">
        <f t="shared" si="9"/>
        <v>0</v>
      </c>
      <c r="K80" s="648">
        <f t="shared" si="10"/>
        <v>0</v>
      </c>
      <c r="L80" s="649">
        <f t="shared" si="11"/>
        <v>0</v>
      </c>
      <c r="M80" s="648">
        <f t="shared" si="12"/>
        <v>0</v>
      </c>
      <c r="N80" s="33"/>
      <c r="P80" s="704" t="s">
        <v>1340</v>
      </c>
      <c r="Q80" s="702">
        <v>0</v>
      </c>
      <c r="R80" s="702">
        <v>0</v>
      </c>
      <c r="S80" s="702">
        <v>0</v>
      </c>
      <c r="T80" s="703">
        <v>0</v>
      </c>
      <c r="U80" s="703">
        <v>0</v>
      </c>
      <c r="V80" s="703">
        <v>0</v>
      </c>
      <c r="W80" s="703">
        <v>0</v>
      </c>
      <c r="X80" s="703">
        <v>0</v>
      </c>
      <c r="Y80" s="703">
        <v>0</v>
      </c>
      <c r="Z80" s="703">
        <v>0</v>
      </c>
      <c r="AA80" s="703">
        <v>0</v>
      </c>
      <c r="AB80" s="703">
        <v>0</v>
      </c>
      <c r="AC80" s="703">
        <v>0</v>
      </c>
      <c r="AD80" s="703">
        <v>0</v>
      </c>
      <c r="AE80" s="703">
        <v>0</v>
      </c>
      <c r="AF80" s="703">
        <v>0</v>
      </c>
      <c r="AG80" s="703">
        <v>0</v>
      </c>
      <c r="AH80" s="703">
        <v>0</v>
      </c>
    </row>
    <row r="81" spans="1:36" ht="14">
      <c r="A81" s="650" t="s">
        <v>1341</v>
      </c>
      <c r="B81" s="651"/>
      <c r="C81" s="646"/>
      <c r="D81" s="647">
        <f t="shared" si="3"/>
        <v>0</v>
      </c>
      <c r="E81" s="648">
        <f t="shared" si="4"/>
        <v>0</v>
      </c>
      <c r="F81" s="647">
        <f t="shared" si="5"/>
        <v>0</v>
      </c>
      <c r="G81" s="648">
        <f t="shared" si="6"/>
        <v>0</v>
      </c>
      <c r="H81" s="647">
        <f t="shared" si="7"/>
        <v>0</v>
      </c>
      <c r="I81" s="648">
        <f t="shared" si="8"/>
        <v>0</v>
      </c>
      <c r="J81" s="647">
        <f t="shared" si="9"/>
        <v>0</v>
      </c>
      <c r="K81" s="648">
        <f t="shared" si="10"/>
        <v>0</v>
      </c>
      <c r="L81" s="649">
        <f t="shared" si="11"/>
        <v>0</v>
      </c>
      <c r="M81" s="648">
        <f t="shared" si="12"/>
        <v>0</v>
      </c>
      <c r="N81" s="33"/>
      <c r="P81" s="704" t="s">
        <v>1341</v>
      </c>
      <c r="Q81" s="702">
        <v>0</v>
      </c>
      <c r="R81" s="702">
        <v>136419</v>
      </c>
      <c r="S81" s="702">
        <v>136419</v>
      </c>
      <c r="T81" s="703">
        <v>0</v>
      </c>
      <c r="U81" s="703">
        <v>0</v>
      </c>
      <c r="V81" s="703">
        <v>0</v>
      </c>
      <c r="W81" s="703">
        <v>0</v>
      </c>
      <c r="X81" s="703">
        <v>0</v>
      </c>
      <c r="Y81" s="703">
        <v>0</v>
      </c>
      <c r="Z81" s="703">
        <v>0</v>
      </c>
      <c r="AA81" s="703">
        <v>0</v>
      </c>
      <c r="AB81" s="703">
        <v>0</v>
      </c>
      <c r="AC81" s="703">
        <v>0</v>
      </c>
      <c r="AD81" s="703">
        <v>0</v>
      </c>
      <c r="AE81" s="703">
        <v>0</v>
      </c>
      <c r="AF81" s="703">
        <v>0</v>
      </c>
      <c r="AG81" s="703">
        <v>0</v>
      </c>
      <c r="AH81" s="703">
        <v>0</v>
      </c>
    </row>
    <row r="82" spans="1:36" ht="14">
      <c r="A82" s="650" t="s">
        <v>1342</v>
      </c>
      <c r="B82" s="651"/>
      <c r="C82" s="646"/>
      <c r="D82" s="647">
        <f t="shared" si="3"/>
        <v>0</v>
      </c>
      <c r="E82" s="648">
        <f t="shared" si="4"/>
        <v>0</v>
      </c>
      <c r="F82" s="647">
        <f t="shared" si="5"/>
        <v>0</v>
      </c>
      <c r="G82" s="648">
        <f t="shared" si="6"/>
        <v>0</v>
      </c>
      <c r="H82" s="647">
        <f t="shared" si="7"/>
        <v>0</v>
      </c>
      <c r="I82" s="648">
        <f t="shared" si="8"/>
        <v>0</v>
      </c>
      <c r="J82" s="647">
        <f t="shared" si="9"/>
        <v>0</v>
      </c>
      <c r="K82" s="648">
        <f t="shared" si="10"/>
        <v>0</v>
      </c>
      <c r="L82" s="649">
        <f t="shared" si="11"/>
        <v>0</v>
      </c>
      <c r="M82" s="648">
        <f t="shared" si="12"/>
        <v>0</v>
      </c>
      <c r="N82" s="33"/>
      <c r="P82" s="704" t="s">
        <v>1342</v>
      </c>
      <c r="Q82" s="702">
        <v>0</v>
      </c>
      <c r="R82" s="702">
        <v>0</v>
      </c>
      <c r="S82" s="702">
        <v>0</v>
      </c>
      <c r="T82" s="703">
        <v>455649</v>
      </c>
      <c r="U82" s="703">
        <v>0</v>
      </c>
      <c r="V82" s="703">
        <v>455649</v>
      </c>
      <c r="W82" s="703">
        <v>0</v>
      </c>
      <c r="X82" s="703">
        <v>0</v>
      </c>
      <c r="Y82" s="703">
        <v>0</v>
      </c>
      <c r="Z82" s="703">
        <v>0</v>
      </c>
      <c r="AA82" s="703">
        <v>0</v>
      </c>
      <c r="AB82" s="703">
        <v>0</v>
      </c>
      <c r="AC82" s="703">
        <v>0</v>
      </c>
      <c r="AD82" s="703">
        <v>0</v>
      </c>
      <c r="AE82" s="703">
        <v>0</v>
      </c>
      <c r="AF82" s="703">
        <v>164286</v>
      </c>
      <c r="AG82" s="703">
        <v>0</v>
      </c>
      <c r="AH82" s="703">
        <v>164286</v>
      </c>
    </row>
    <row r="83" spans="1:36" ht="14">
      <c r="A83" s="650" t="s">
        <v>1343</v>
      </c>
      <c r="B83" s="651"/>
      <c r="C83" s="646"/>
      <c r="D83" s="647">
        <f t="shared" si="3"/>
        <v>0</v>
      </c>
      <c r="E83" s="648">
        <f t="shared" si="4"/>
        <v>0</v>
      </c>
      <c r="F83" s="647">
        <f t="shared" si="5"/>
        <v>0</v>
      </c>
      <c r="G83" s="648">
        <f t="shared" si="6"/>
        <v>0</v>
      </c>
      <c r="H83" s="647">
        <f t="shared" si="7"/>
        <v>0</v>
      </c>
      <c r="I83" s="648">
        <f t="shared" si="8"/>
        <v>0</v>
      </c>
      <c r="J83" s="647">
        <f t="shared" si="9"/>
        <v>0</v>
      </c>
      <c r="K83" s="648">
        <f t="shared" si="10"/>
        <v>0</v>
      </c>
      <c r="L83" s="649">
        <f t="shared" si="11"/>
        <v>0</v>
      </c>
      <c r="M83" s="648">
        <f t="shared" si="12"/>
        <v>0</v>
      </c>
      <c r="N83" s="33"/>
      <c r="P83" s="704" t="s">
        <v>1343</v>
      </c>
      <c r="Q83" s="702">
        <v>0</v>
      </c>
      <c r="R83" s="702">
        <v>0</v>
      </c>
      <c r="S83" s="702">
        <v>0</v>
      </c>
      <c r="T83" s="703">
        <v>0</v>
      </c>
      <c r="U83" s="703">
        <v>0</v>
      </c>
      <c r="V83" s="703">
        <v>0</v>
      </c>
      <c r="W83" s="703">
        <v>0</v>
      </c>
      <c r="X83" s="703">
        <v>0</v>
      </c>
      <c r="Y83" s="703">
        <v>0</v>
      </c>
      <c r="Z83" s="703">
        <v>0</v>
      </c>
      <c r="AA83" s="703">
        <v>0</v>
      </c>
      <c r="AB83" s="703">
        <v>0</v>
      </c>
      <c r="AC83" s="703">
        <v>0</v>
      </c>
      <c r="AD83" s="703">
        <v>0</v>
      </c>
      <c r="AE83" s="703">
        <v>0</v>
      </c>
      <c r="AF83" s="703">
        <v>0</v>
      </c>
      <c r="AG83" s="703">
        <v>0</v>
      </c>
      <c r="AH83" s="703">
        <v>0</v>
      </c>
    </row>
    <row r="84" spans="1:36" ht="14">
      <c r="A84" s="188" t="s">
        <v>1344</v>
      </c>
      <c r="B84" s="645"/>
      <c r="C84" s="646"/>
      <c r="D84" s="647">
        <f t="shared" si="3"/>
        <v>0</v>
      </c>
      <c r="E84" s="648">
        <f t="shared" si="4"/>
        <v>0</v>
      </c>
      <c r="F84" s="647">
        <f t="shared" si="5"/>
        <v>0</v>
      </c>
      <c r="G84" s="648">
        <f t="shared" si="6"/>
        <v>0</v>
      </c>
      <c r="H84" s="647">
        <f t="shared" si="7"/>
        <v>0</v>
      </c>
      <c r="I84" s="648">
        <f t="shared" si="8"/>
        <v>0</v>
      </c>
      <c r="J84" s="647">
        <f t="shared" si="9"/>
        <v>0</v>
      </c>
      <c r="K84" s="648">
        <f t="shared" si="10"/>
        <v>0</v>
      </c>
      <c r="L84" s="649">
        <f t="shared" si="11"/>
        <v>0</v>
      </c>
      <c r="M84" s="648">
        <f t="shared" si="12"/>
        <v>0</v>
      </c>
      <c r="N84" s="33"/>
      <c r="O84" s="654"/>
      <c r="P84" s="188" t="s">
        <v>1344</v>
      </c>
      <c r="Q84" s="702">
        <v>57507</v>
      </c>
      <c r="R84" s="702">
        <v>471926</v>
      </c>
      <c r="S84" s="702">
        <v>529433</v>
      </c>
      <c r="T84" s="703">
        <v>9747</v>
      </c>
      <c r="U84" s="703">
        <v>14424</v>
      </c>
      <c r="V84" s="703">
        <v>24171</v>
      </c>
      <c r="W84" s="703">
        <v>0</v>
      </c>
      <c r="X84" s="703">
        <v>0</v>
      </c>
      <c r="Y84" s="703">
        <v>0</v>
      </c>
      <c r="Z84" s="703">
        <v>0</v>
      </c>
      <c r="AA84" s="703">
        <v>0</v>
      </c>
      <c r="AB84" s="703">
        <v>0</v>
      </c>
      <c r="AC84" s="703">
        <v>1891</v>
      </c>
      <c r="AD84" s="703">
        <v>0</v>
      </c>
      <c r="AE84" s="703">
        <v>1891</v>
      </c>
      <c r="AF84" s="703">
        <v>0</v>
      </c>
      <c r="AG84" s="703">
        <v>0</v>
      </c>
      <c r="AH84" s="703">
        <v>0</v>
      </c>
    </row>
    <row r="85" spans="1:36" ht="14">
      <c r="A85" s="650" t="s">
        <v>1345</v>
      </c>
      <c r="B85" s="651"/>
      <c r="C85" s="646"/>
      <c r="D85" s="647">
        <f t="shared" si="3"/>
        <v>0</v>
      </c>
      <c r="E85" s="648">
        <f t="shared" si="4"/>
        <v>0</v>
      </c>
      <c r="F85" s="647">
        <f t="shared" si="5"/>
        <v>0</v>
      </c>
      <c r="G85" s="648">
        <f t="shared" si="6"/>
        <v>0</v>
      </c>
      <c r="H85" s="647">
        <f t="shared" si="7"/>
        <v>0</v>
      </c>
      <c r="I85" s="648">
        <f t="shared" si="8"/>
        <v>0</v>
      </c>
      <c r="J85" s="647">
        <f t="shared" si="9"/>
        <v>0</v>
      </c>
      <c r="K85" s="648">
        <f t="shared" si="10"/>
        <v>0</v>
      </c>
      <c r="L85" s="649">
        <f t="shared" si="11"/>
        <v>0</v>
      </c>
      <c r="M85" s="648">
        <f t="shared" si="12"/>
        <v>0</v>
      </c>
      <c r="N85" s="33"/>
      <c r="P85" s="704" t="s">
        <v>1345</v>
      </c>
      <c r="Q85" s="702">
        <v>1108440</v>
      </c>
      <c r="R85" s="702">
        <v>0</v>
      </c>
      <c r="S85" s="702">
        <v>1108440</v>
      </c>
      <c r="T85" s="703">
        <v>0</v>
      </c>
      <c r="U85" s="703">
        <v>0</v>
      </c>
      <c r="V85" s="703">
        <v>0</v>
      </c>
      <c r="W85" s="703">
        <v>0</v>
      </c>
      <c r="X85" s="703">
        <v>0</v>
      </c>
      <c r="Y85" s="703">
        <v>0</v>
      </c>
      <c r="Z85" s="703">
        <v>0</v>
      </c>
      <c r="AA85" s="703">
        <v>0</v>
      </c>
      <c r="AB85" s="703">
        <v>0</v>
      </c>
      <c r="AC85" s="703">
        <v>0</v>
      </c>
      <c r="AD85" s="703">
        <v>0</v>
      </c>
      <c r="AE85" s="703">
        <v>0</v>
      </c>
      <c r="AF85" s="703">
        <v>0</v>
      </c>
      <c r="AG85" s="703">
        <v>0</v>
      </c>
      <c r="AH85" s="703">
        <v>0</v>
      </c>
    </row>
    <row r="86" spans="1:36" ht="14">
      <c r="A86" s="650" t="s">
        <v>1346</v>
      </c>
      <c r="B86" s="651"/>
      <c r="C86" s="646"/>
      <c r="D86" s="647">
        <f t="shared" si="3"/>
        <v>0</v>
      </c>
      <c r="E86" s="648">
        <f t="shared" si="4"/>
        <v>0</v>
      </c>
      <c r="F86" s="647">
        <f t="shared" si="5"/>
        <v>0</v>
      </c>
      <c r="G86" s="648">
        <f t="shared" si="6"/>
        <v>0</v>
      </c>
      <c r="H86" s="647">
        <f t="shared" si="7"/>
        <v>0</v>
      </c>
      <c r="I86" s="648">
        <f t="shared" si="8"/>
        <v>0</v>
      </c>
      <c r="J86" s="647">
        <f t="shared" si="9"/>
        <v>0</v>
      </c>
      <c r="K86" s="648">
        <f t="shared" si="10"/>
        <v>0</v>
      </c>
      <c r="L86" s="649">
        <f t="shared" si="11"/>
        <v>0</v>
      </c>
      <c r="M86" s="648">
        <f t="shared" si="12"/>
        <v>0</v>
      </c>
      <c r="N86" s="33"/>
      <c r="O86" s="654"/>
      <c r="P86" s="704" t="s">
        <v>1346</v>
      </c>
      <c r="Q86" s="702">
        <v>0</v>
      </c>
      <c r="R86" s="702">
        <v>12218</v>
      </c>
      <c r="S86" s="702">
        <v>12218</v>
      </c>
      <c r="T86" s="703">
        <v>0</v>
      </c>
      <c r="U86" s="703">
        <v>0</v>
      </c>
      <c r="V86" s="703">
        <v>0</v>
      </c>
      <c r="W86" s="703">
        <v>0</v>
      </c>
      <c r="X86" s="703">
        <v>0</v>
      </c>
      <c r="Y86" s="703">
        <v>0</v>
      </c>
      <c r="Z86" s="703">
        <v>0</v>
      </c>
      <c r="AA86" s="703">
        <v>0</v>
      </c>
      <c r="AB86" s="703">
        <v>0</v>
      </c>
      <c r="AC86" s="703">
        <v>0</v>
      </c>
      <c r="AD86" s="703">
        <v>0</v>
      </c>
      <c r="AE86" s="703">
        <v>0</v>
      </c>
      <c r="AF86" s="703">
        <v>0</v>
      </c>
      <c r="AG86" s="703">
        <v>0</v>
      </c>
      <c r="AH86" s="703">
        <v>0</v>
      </c>
    </row>
    <row r="87" spans="1:36" ht="14">
      <c r="A87" s="650" t="s">
        <v>1347</v>
      </c>
      <c r="B87" s="651"/>
      <c r="C87" s="646"/>
      <c r="D87" s="647">
        <f t="shared" si="3"/>
        <v>0</v>
      </c>
      <c r="E87" s="648">
        <f t="shared" si="4"/>
        <v>0</v>
      </c>
      <c r="F87" s="647">
        <f t="shared" si="5"/>
        <v>0</v>
      </c>
      <c r="G87" s="648">
        <f t="shared" si="6"/>
        <v>0</v>
      </c>
      <c r="H87" s="647">
        <f t="shared" si="7"/>
        <v>0</v>
      </c>
      <c r="I87" s="648">
        <f t="shared" si="8"/>
        <v>0</v>
      </c>
      <c r="J87" s="647">
        <f t="shared" si="9"/>
        <v>0</v>
      </c>
      <c r="K87" s="648">
        <f t="shared" si="10"/>
        <v>0</v>
      </c>
      <c r="L87" s="649">
        <f t="shared" si="11"/>
        <v>0</v>
      </c>
      <c r="M87" s="648">
        <f t="shared" si="12"/>
        <v>0</v>
      </c>
      <c r="N87" s="33"/>
      <c r="P87" s="704" t="s">
        <v>1347</v>
      </c>
      <c r="Q87" s="702">
        <v>0</v>
      </c>
      <c r="R87" s="702">
        <v>0</v>
      </c>
      <c r="S87" s="702">
        <v>0</v>
      </c>
      <c r="T87" s="703">
        <v>0</v>
      </c>
      <c r="U87" s="703">
        <v>0</v>
      </c>
      <c r="V87" s="703">
        <v>0</v>
      </c>
      <c r="W87" s="703">
        <v>0</v>
      </c>
      <c r="X87" s="703">
        <v>0</v>
      </c>
      <c r="Y87" s="703">
        <v>0</v>
      </c>
      <c r="Z87" s="703">
        <v>0</v>
      </c>
      <c r="AA87" s="703">
        <v>0</v>
      </c>
      <c r="AB87" s="703">
        <v>0</v>
      </c>
      <c r="AC87" s="703">
        <v>0</v>
      </c>
      <c r="AD87" s="703">
        <v>0</v>
      </c>
      <c r="AE87" s="703">
        <v>0</v>
      </c>
      <c r="AF87" s="703">
        <v>0</v>
      </c>
      <c r="AG87" s="703">
        <v>0</v>
      </c>
      <c r="AH87" s="703">
        <v>0</v>
      </c>
    </row>
    <row r="88" spans="1:36" ht="13">
      <c r="N88" s="33"/>
      <c r="P88" s="705" t="s">
        <v>196</v>
      </c>
      <c r="Q88" s="706">
        <v>1778417</v>
      </c>
      <c r="R88" s="706">
        <v>786076</v>
      </c>
      <c r="S88" s="706">
        <v>2564493</v>
      </c>
      <c r="T88" s="706">
        <v>602328</v>
      </c>
      <c r="U88" s="706">
        <v>24331</v>
      </c>
      <c r="V88" s="706">
        <v>626659</v>
      </c>
      <c r="W88" s="706">
        <v>102645</v>
      </c>
      <c r="X88" s="706">
        <v>0</v>
      </c>
      <c r="Y88" s="706">
        <v>102645</v>
      </c>
      <c r="Z88" s="706">
        <v>0</v>
      </c>
      <c r="AA88" s="706">
        <v>0</v>
      </c>
      <c r="AB88" s="706">
        <v>0</v>
      </c>
      <c r="AC88" s="706">
        <v>4475</v>
      </c>
      <c r="AD88" s="706">
        <v>0</v>
      </c>
      <c r="AE88" s="706">
        <v>4475</v>
      </c>
      <c r="AF88" s="706">
        <v>193639</v>
      </c>
      <c r="AG88" s="706">
        <v>0</v>
      </c>
      <c r="AH88" s="706">
        <v>193639</v>
      </c>
      <c r="AI88" s="140">
        <f>S88+V88+Y88+AB88+AE88+AH88</f>
        <v>3491911</v>
      </c>
      <c r="AJ88" s="654"/>
    </row>
    <row r="89" spans="1:36">
      <c r="B89" s="32"/>
      <c r="C89" s="32"/>
      <c r="D89" s="32"/>
      <c r="E89" s="32"/>
      <c r="F89" s="32"/>
      <c r="G89" s="32"/>
      <c r="H89" s="32"/>
      <c r="I89" s="32"/>
      <c r="J89" s="32"/>
      <c r="K89" s="32"/>
      <c r="L89" s="32"/>
      <c r="N89" s="33"/>
    </row>
    <row r="90" spans="1:36" ht="13" thickBot="1">
      <c r="B90" s="32"/>
      <c r="C90" s="32"/>
      <c r="D90" s="32"/>
      <c r="E90" s="32"/>
      <c r="F90" s="32"/>
      <c r="G90" s="32"/>
      <c r="H90" s="32"/>
      <c r="I90" s="32"/>
      <c r="J90" s="32"/>
      <c r="K90" s="32"/>
      <c r="L90" s="32"/>
    </row>
    <row r="91" spans="1:36" ht="13" thickBot="1">
      <c r="A91" s="878" t="s">
        <v>1371</v>
      </c>
      <c r="B91" s="879"/>
      <c r="C91" s="879"/>
      <c r="D91" s="879"/>
      <c r="E91" s="879"/>
      <c r="F91" s="879"/>
      <c r="G91" s="879"/>
      <c r="H91" s="879"/>
      <c r="I91" s="879"/>
      <c r="J91" s="879"/>
      <c r="K91" s="879"/>
      <c r="L91" s="879"/>
      <c r="M91" s="882"/>
      <c r="N91" s="536"/>
      <c r="P91" s="872" t="s">
        <v>1378</v>
      </c>
      <c r="Q91" s="878" t="s">
        <v>1371</v>
      </c>
      <c r="R91" s="879"/>
      <c r="S91" s="879"/>
      <c r="T91" s="879"/>
      <c r="U91" s="879"/>
      <c r="V91" s="879"/>
      <c r="W91" s="879"/>
      <c r="X91" s="879"/>
      <c r="Y91" s="879"/>
      <c r="Z91" s="879"/>
      <c r="AA91" s="879"/>
      <c r="AB91" s="879"/>
      <c r="AC91" s="879"/>
      <c r="AD91" s="879"/>
      <c r="AE91" s="880"/>
      <c r="AF91" s="880"/>
      <c r="AG91" s="880"/>
      <c r="AH91" s="881"/>
    </row>
    <row r="92" spans="1:36" ht="24" customHeight="1" thickBot="1">
      <c r="A92" s="906" t="s">
        <v>1361</v>
      </c>
      <c r="B92" s="876" t="s">
        <v>1357</v>
      </c>
      <c r="C92" s="874" t="s">
        <v>1358</v>
      </c>
      <c r="D92" s="876" t="s">
        <v>1376</v>
      </c>
      <c r="E92" s="874" t="s">
        <v>1377</v>
      </c>
      <c r="F92" s="876" t="s">
        <v>1381</v>
      </c>
      <c r="G92" s="874" t="s">
        <v>1382</v>
      </c>
      <c r="H92" s="876" t="s">
        <v>1394</v>
      </c>
      <c r="I92" s="874" t="s">
        <v>1403</v>
      </c>
      <c r="J92" s="876" t="s">
        <v>1395</v>
      </c>
      <c r="K92" s="874" t="s">
        <v>1396</v>
      </c>
      <c r="L92" s="876" t="s">
        <v>1397</v>
      </c>
      <c r="M92" s="874" t="s">
        <v>1398</v>
      </c>
      <c r="N92" s="33"/>
      <c r="P92" s="905" t="s">
        <v>1365</v>
      </c>
      <c r="Q92" s="878" t="s">
        <v>232</v>
      </c>
      <c r="R92" s="879"/>
      <c r="S92" s="882"/>
      <c r="T92" s="889" t="s">
        <v>212</v>
      </c>
      <c r="U92" s="890"/>
      <c r="V92" s="891"/>
      <c r="W92" s="878" t="s">
        <v>228</v>
      </c>
      <c r="X92" s="879"/>
      <c r="Y92" s="882"/>
      <c r="Z92" s="879" t="s">
        <v>229</v>
      </c>
      <c r="AA92" s="879"/>
      <c r="AB92" s="882"/>
      <c r="AC92" s="878" t="s">
        <v>231</v>
      </c>
      <c r="AD92" s="879"/>
      <c r="AE92" s="882"/>
      <c r="AF92" s="879" t="s">
        <v>230</v>
      </c>
      <c r="AG92" s="879"/>
      <c r="AH92" s="882"/>
    </row>
    <row r="93" spans="1:36" ht="24.75" customHeight="1" thickBot="1">
      <c r="A93" s="907"/>
      <c r="B93" s="877"/>
      <c r="C93" s="875"/>
      <c r="D93" s="877"/>
      <c r="E93" s="875"/>
      <c r="F93" s="877" t="s">
        <v>1362</v>
      </c>
      <c r="G93" s="875" t="s">
        <v>1362</v>
      </c>
      <c r="H93" s="877" t="s">
        <v>1362</v>
      </c>
      <c r="I93" s="875" t="s">
        <v>1362</v>
      </c>
      <c r="J93" s="877" t="s">
        <v>1362</v>
      </c>
      <c r="K93" s="875" t="s">
        <v>1362</v>
      </c>
      <c r="L93" s="877" t="s">
        <v>1362</v>
      </c>
      <c r="M93" s="875" t="s">
        <v>1362</v>
      </c>
      <c r="N93" s="33"/>
      <c r="P93" s="873">
        <v>41132840</v>
      </c>
      <c r="Q93" s="217" t="s">
        <v>1362</v>
      </c>
      <c r="R93" s="64" t="s">
        <v>1363</v>
      </c>
      <c r="S93" s="64" t="s">
        <v>1364</v>
      </c>
      <c r="T93" s="699" t="s">
        <v>1362</v>
      </c>
      <c r="U93" s="700" t="s">
        <v>1363</v>
      </c>
      <c r="V93" s="700" t="s">
        <v>1364</v>
      </c>
      <c r="W93" s="217" t="s">
        <v>1362</v>
      </c>
      <c r="X93" s="64" t="s">
        <v>1363</v>
      </c>
      <c r="Y93" s="64" t="s">
        <v>1364</v>
      </c>
      <c r="Z93" s="657" t="s">
        <v>1362</v>
      </c>
      <c r="AA93" s="64" t="s">
        <v>1363</v>
      </c>
      <c r="AB93" s="64" t="s">
        <v>1364</v>
      </c>
      <c r="AC93" s="217" t="s">
        <v>1362</v>
      </c>
      <c r="AD93" s="64" t="s">
        <v>1363</v>
      </c>
      <c r="AE93" s="64" t="s">
        <v>1364</v>
      </c>
      <c r="AF93" s="657" t="s">
        <v>1362</v>
      </c>
      <c r="AG93" s="64" t="s">
        <v>1363</v>
      </c>
      <c r="AH93" s="64" t="s">
        <v>1364</v>
      </c>
    </row>
    <row r="94" spans="1:36" ht="14">
      <c r="A94" s="187" t="s">
        <v>2423</v>
      </c>
      <c r="B94" s="647">
        <f t="shared" ref="B94:B112" si="13">Q94*$B36</f>
        <v>0</v>
      </c>
      <c r="C94" s="648">
        <f t="shared" ref="C94:C112" si="14">R94*$B36</f>
        <v>0</v>
      </c>
      <c r="D94" s="646"/>
      <c r="E94" s="646"/>
      <c r="F94" s="647">
        <f t="shared" ref="F94:F112" si="15">W94*$B36</f>
        <v>0</v>
      </c>
      <c r="G94" s="648">
        <f t="shared" ref="G94:G112" si="16">X94*$B36</f>
        <v>0</v>
      </c>
      <c r="H94" s="647">
        <f t="shared" ref="H94:H112" si="17">Z94*$B36</f>
        <v>0</v>
      </c>
      <c r="I94" s="648">
        <f t="shared" ref="I94:I112" si="18">AA94*$B36</f>
        <v>0</v>
      </c>
      <c r="J94" s="647">
        <f t="shared" ref="J94:J112" si="19">AC94*$B36</f>
        <v>0</v>
      </c>
      <c r="K94" s="648">
        <f t="shared" ref="K94:K112" si="20">AD94*$B36</f>
        <v>0</v>
      </c>
      <c r="L94" s="647">
        <f t="shared" ref="L94:L112" si="21">AF94*$B36</f>
        <v>0</v>
      </c>
      <c r="M94" s="648">
        <f t="shared" ref="M94:M112" si="22">AG94*$B36</f>
        <v>0</v>
      </c>
      <c r="N94" s="33"/>
      <c r="P94" s="188" t="s">
        <v>2423</v>
      </c>
      <c r="Q94" s="703">
        <v>0</v>
      </c>
      <c r="R94" s="703">
        <v>0</v>
      </c>
      <c r="S94" s="703">
        <v>0</v>
      </c>
      <c r="T94" s="702">
        <v>0</v>
      </c>
      <c r="U94" s="702">
        <v>8614</v>
      </c>
      <c r="V94" s="702">
        <v>8614</v>
      </c>
      <c r="W94" s="703">
        <v>0</v>
      </c>
      <c r="X94" s="703">
        <v>0</v>
      </c>
      <c r="Y94" s="703">
        <v>0</v>
      </c>
      <c r="Z94" s="703">
        <v>0</v>
      </c>
      <c r="AA94" s="703">
        <v>0</v>
      </c>
      <c r="AB94" s="703">
        <v>0</v>
      </c>
      <c r="AC94" s="703">
        <v>0</v>
      </c>
      <c r="AD94" s="703">
        <v>0</v>
      </c>
      <c r="AE94" s="703">
        <v>0</v>
      </c>
      <c r="AF94" s="703">
        <v>0</v>
      </c>
      <c r="AG94" s="703">
        <v>0</v>
      </c>
      <c r="AH94" s="703">
        <v>0</v>
      </c>
      <c r="AI94" s="140"/>
    </row>
    <row r="95" spans="1:36" ht="14">
      <c r="A95" s="650" t="s">
        <v>1330</v>
      </c>
      <c r="B95" s="647">
        <f t="shared" si="13"/>
        <v>0</v>
      </c>
      <c r="C95" s="648">
        <f t="shared" si="14"/>
        <v>0</v>
      </c>
      <c r="D95" s="646"/>
      <c r="E95" s="646"/>
      <c r="F95" s="647">
        <f t="shared" si="15"/>
        <v>0</v>
      </c>
      <c r="G95" s="648">
        <f t="shared" si="16"/>
        <v>0</v>
      </c>
      <c r="H95" s="647">
        <f t="shared" si="17"/>
        <v>0</v>
      </c>
      <c r="I95" s="648">
        <f t="shared" si="18"/>
        <v>0</v>
      </c>
      <c r="J95" s="647">
        <f t="shared" si="19"/>
        <v>0</v>
      </c>
      <c r="K95" s="648">
        <f t="shared" si="20"/>
        <v>0</v>
      </c>
      <c r="L95" s="647">
        <f t="shared" si="21"/>
        <v>0</v>
      </c>
      <c r="M95" s="648">
        <f t="shared" si="22"/>
        <v>0</v>
      </c>
      <c r="N95" s="33"/>
      <c r="P95" s="704" t="s">
        <v>1330</v>
      </c>
      <c r="Q95" s="703">
        <v>0</v>
      </c>
      <c r="R95" s="703">
        <v>0</v>
      </c>
      <c r="S95" s="703">
        <v>0</v>
      </c>
      <c r="T95" s="702">
        <v>0</v>
      </c>
      <c r="U95" s="702">
        <v>0</v>
      </c>
      <c r="V95" s="702">
        <v>0</v>
      </c>
      <c r="W95" s="703">
        <v>0</v>
      </c>
      <c r="X95" s="703">
        <v>0</v>
      </c>
      <c r="Y95" s="703">
        <v>0</v>
      </c>
      <c r="Z95" s="703">
        <v>0</v>
      </c>
      <c r="AA95" s="703">
        <v>0</v>
      </c>
      <c r="AB95" s="703">
        <v>0</v>
      </c>
      <c r="AC95" s="703">
        <v>0</v>
      </c>
      <c r="AD95" s="703">
        <v>0</v>
      </c>
      <c r="AE95" s="703">
        <v>0</v>
      </c>
      <c r="AF95" s="703">
        <v>0</v>
      </c>
      <c r="AG95" s="703">
        <v>0</v>
      </c>
      <c r="AH95" s="703">
        <v>0</v>
      </c>
      <c r="AI95" s="140"/>
    </row>
    <row r="96" spans="1:36" ht="14">
      <c r="A96" s="650" t="s">
        <v>1331</v>
      </c>
      <c r="B96" s="647">
        <f t="shared" si="13"/>
        <v>0</v>
      </c>
      <c r="C96" s="648">
        <f t="shared" si="14"/>
        <v>0</v>
      </c>
      <c r="D96" s="646"/>
      <c r="E96" s="646"/>
      <c r="F96" s="647">
        <f t="shared" si="15"/>
        <v>0</v>
      </c>
      <c r="G96" s="648">
        <f t="shared" si="16"/>
        <v>0</v>
      </c>
      <c r="H96" s="647">
        <f t="shared" si="17"/>
        <v>0</v>
      </c>
      <c r="I96" s="648">
        <f t="shared" si="18"/>
        <v>0</v>
      </c>
      <c r="J96" s="647">
        <f t="shared" si="19"/>
        <v>0</v>
      </c>
      <c r="K96" s="648">
        <f t="shared" si="20"/>
        <v>0</v>
      </c>
      <c r="L96" s="647">
        <f t="shared" si="21"/>
        <v>0</v>
      </c>
      <c r="M96" s="648">
        <f t="shared" si="22"/>
        <v>0</v>
      </c>
      <c r="N96" s="33"/>
      <c r="P96" s="704" t="s">
        <v>1331</v>
      </c>
      <c r="Q96" s="703">
        <v>0</v>
      </c>
      <c r="R96" s="703">
        <v>0</v>
      </c>
      <c r="S96" s="703">
        <v>0</v>
      </c>
      <c r="T96" s="702">
        <v>0</v>
      </c>
      <c r="U96" s="702">
        <v>0</v>
      </c>
      <c r="V96" s="702">
        <v>0</v>
      </c>
      <c r="W96" s="703">
        <v>0</v>
      </c>
      <c r="X96" s="703">
        <v>0</v>
      </c>
      <c r="Y96" s="703">
        <v>0</v>
      </c>
      <c r="Z96" s="703">
        <v>0</v>
      </c>
      <c r="AA96" s="703">
        <v>0</v>
      </c>
      <c r="AB96" s="703">
        <v>0</v>
      </c>
      <c r="AC96" s="703">
        <v>0</v>
      </c>
      <c r="AD96" s="703">
        <v>0</v>
      </c>
      <c r="AE96" s="703">
        <v>0</v>
      </c>
      <c r="AF96" s="703">
        <v>0</v>
      </c>
      <c r="AG96" s="703">
        <v>0</v>
      </c>
      <c r="AH96" s="703">
        <v>0</v>
      </c>
      <c r="AI96" s="140"/>
    </row>
    <row r="97" spans="1:35" ht="14">
      <c r="A97" s="650" t="s">
        <v>1332</v>
      </c>
      <c r="B97" s="647">
        <f t="shared" si="13"/>
        <v>0</v>
      </c>
      <c r="C97" s="648">
        <f t="shared" si="14"/>
        <v>0</v>
      </c>
      <c r="D97" s="646"/>
      <c r="E97" s="646"/>
      <c r="F97" s="647">
        <f t="shared" si="15"/>
        <v>0</v>
      </c>
      <c r="G97" s="648">
        <f t="shared" si="16"/>
        <v>0</v>
      </c>
      <c r="H97" s="647">
        <f t="shared" si="17"/>
        <v>0</v>
      </c>
      <c r="I97" s="648">
        <f t="shared" si="18"/>
        <v>0</v>
      </c>
      <c r="J97" s="647">
        <f t="shared" si="19"/>
        <v>0</v>
      </c>
      <c r="K97" s="648">
        <f t="shared" si="20"/>
        <v>0</v>
      </c>
      <c r="L97" s="647">
        <f t="shared" si="21"/>
        <v>0</v>
      </c>
      <c r="M97" s="648">
        <f t="shared" si="22"/>
        <v>0</v>
      </c>
      <c r="N97" s="33"/>
      <c r="P97" s="704" t="s">
        <v>1332</v>
      </c>
      <c r="Q97" s="703">
        <v>0</v>
      </c>
      <c r="R97" s="703">
        <v>0</v>
      </c>
      <c r="S97" s="703">
        <v>0</v>
      </c>
      <c r="T97" s="702">
        <v>0</v>
      </c>
      <c r="U97" s="702">
        <v>0</v>
      </c>
      <c r="V97" s="702">
        <v>0</v>
      </c>
      <c r="W97" s="703">
        <v>0</v>
      </c>
      <c r="X97" s="703">
        <v>0</v>
      </c>
      <c r="Y97" s="703">
        <v>0</v>
      </c>
      <c r="Z97" s="703">
        <v>0</v>
      </c>
      <c r="AA97" s="703">
        <v>0</v>
      </c>
      <c r="AB97" s="703">
        <v>0</v>
      </c>
      <c r="AC97" s="703">
        <v>0</v>
      </c>
      <c r="AD97" s="703">
        <v>0</v>
      </c>
      <c r="AE97" s="703">
        <v>0</v>
      </c>
      <c r="AF97" s="703">
        <v>0</v>
      </c>
      <c r="AG97" s="703">
        <v>0</v>
      </c>
      <c r="AH97" s="703">
        <v>0</v>
      </c>
      <c r="AI97" s="140"/>
    </row>
    <row r="98" spans="1:35" ht="14">
      <c r="A98" s="650" t="s">
        <v>1333</v>
      </c>
      <c r="B98" s="647">
        <f t="shared" si="13"/>
        <v>0</v>
      </c>
      <c r="C98" s="648">
        <f t="shared" si="14"/>
        <v>0</v>
      </c>
      <c r="D98" s="646"/>
      <c r="E98" s="646"/>
      <c r="F98" s="647">
        <f t="shared" si="15"/>
        <v>0</v>
      </c>
      <c r="G98" s="648">
        <f t="shared" si="16"/>
        <v>0</v>
      </c>
      <c r="H98" s="647">
        <f t="shared" si="17"/>
        <v>0</v>
      </c>
      <c r="I98" s="648">
        <f t="shared" si="18"/>
        <v>0</v>
      </c>
      <c r="J98" s="647">
        <f t="shared" si="19"/>
        <v>0</v>
      </c>
      <c r="K98" s="648">
        <f t="shared" si="20"/>
        <v>0</v>
      </c>
      <c r="L98" s="647">
        <f t="shared" si="21"/>
        <v>0</v>
      </c>
      <c r="M98" s="648">
        <f t="shared" si="22"/>
        <v>0</v>
      </c>
      <c r="N98" s="33"/>
      <c r="P98" s="704" t="s">
        <v>1333</v>
      </c>
      <c r="Q98" s="703">
        <v>0</v>
      </c>
      <c r="R98" s="703">
        <v>0</v>
      </c>
      <c r="S98" s="703">
        <v>0</v>
      </c>
      <c r="T98" s="702">
        <v>0</v>
      </c>
      <c r="U98" s="702">
        <v>43339</v>
      </c>
      <c r="V98" s="702">
        <v>43339</v>
      </c>
      <c r="W98" s="703">
        <v>0</v>
      </c>
      <c r="X98" s="703">
        <v>0</v>
      </c>
      <c r="Y98" s="703">
        <v>0</v>
      </c>
      <c r="Z98" s="703">
        <v>0</v>
      </c>
      <c r="AA98" s="703">
        <v>0</v>
      </c>
      <c r="AB98" s="703">
        <v>0</v>
      </c>
      <c r="AC98" s="703">
        <v>0</v>
      </c>
      <c r="AD98" s="703">
        <v>0</v>
      </c>
      <c r="AE98" s="703">
        <v>0</v>
      </c>
      <c r="AF98" s="703">
        <v>0</v>
      </c>
      <c r="AG98" s="703">
        <v>0</v>
      </c>
      <c r="AH98" s="703">
        <v>0</v>
      </c>
      <c r="AI98" s="140"/>
    </row>
    <row r="99" spans="1:35" ht="14">
      <c r="A99" s="650" t="s">
        <v>1334</v>
      </c>
      <c r="B99" s="647">
        <f t="shared" si="13"/>
        <v>0</v>
      </c>
      <c r="C99" s="648">
        <f t="shared" si="14"/>
        <v>0</v>
      </c>
      <c r="D99" s="646"/>
      <c r="E99" s="646"/>
      <c r="F99" s="647">
        <f t="shared" si="15"/>
        <v>0</v>
      </c>
      <c r="G99" s="648">
        <f t="shared" si="16"/>
        <v>0</v>
      </c>
      <c r="H99" s="647">
        <f t="shared" si="17"/>
        <v>0</v>
      </c>
      <c r="I99" s="648">
        <f t="shared" si="18"/>
        <v>0</v>
      </c>
      <c r="J99" s="647">
        <f t="shared" si="19"/>
        <v>0</v>
      </c>
      <c r="K99" s="648">
        <f t="shared" si="20"/>
        <v>0</v>
      </c>
      <c r="L99" s="647">
        <f t="shared" si="21"/>
        <v>0</v>
      </c>
      <c r="M99" s="648">
        <f t="shared" si="22"/>
        <v>0</v>
      </c>
      <c r="N99" s="33"/>
      <c r="P99" s="704" t="s">
        <v>1334</v>
      </c>
      <c r="Q99" s="703">
        <v>0</v>
      </c>
      <c r="R99" s="703">
        <v>0</v>
      </c>
      <c r="S99" s="703">
        <v>0</v>
      </c>
      <c r="T99" s="702">
        <v>0</v>
      </c>
      <c r="U99" s="702">
        <v>0</v>
      </c>
      <c r="V99" s="702">
        <v>0</v>
      </c>
      <c r="W99" s="703">
        <v>0</v>
      </c>
      <c r="X99" s="703">
        <v>0</v>
      </c>
      <c r="Y99" s="703">
        <v>0</v>
      </c>
      <c r="Z99" s="703">
        <v>0</v>
      </c>
      <c r="AA99" s="703">
        <v>0</v>
      </c>
      <c r="AB99" s="703">
        <v>0</v>
      </c>
      <c r="AC99" s="703">
        <v>0</v>
      </c>
      <c r="AD99" s="703">
        <v>0</v>
      </c>
      <c r="AE99" s="703">
        <v>0</v>
      </c>
      <c r="AF99" s="703">
        <v>0</v>
      </c>
      <c r="AG99" s="703">
        <v>0</v>
      </c>
      <c r="AH99" s="703">
        <v>0</v>
      </c>
      <c r="AI99" s="140"/>
    </row>
    <row r="100" spans="1:35" ht="14">
      <c r="A100" s="650" t="s">
        <v>1335</v>
      </c>
      <c r="B100" s="647">
        <f t="shared" si="13"/>
        <v>0</v>
      </c>
      <c r="C100" s="648">
        <f t="shared" si="14"/>
        <v>0</v>
      </c>
      <c r="D100" s="646"/>
      <c r="E100" s="646"/>
      <c r="F100" s="647">
        <f t="shared" si="15"/>
        <v>0</v>
      </c>
      <c r="G100" s="648">
        <f t="shared" si="16"/>
        <v>0</v>
      </c>
      <c r="H100" s="647">
        <f t="shared" si="17"/>
        <v>0</v>
      </c>
      <c r="I100" s="648">
        <f t="shared" si="18"/>
        <v>0</v>
      </c>
      <c r="J100" s="647">
        <f t="shared" si="19"/>
        <v>0</v>
      </c>
      <c r="K100" s="648">
        <f t="shared" si="20"/>
        <v>0</v>
      </c>
      <c r="L100" s="647">
        <f t="shared" si="21"/>
        <v>0</v>
      </c>
      <c r="M100" s="648">
        <f t="shared" si="22"/>
        <v>0</v>
      </c>
      <c r="N100" s="33"/>
      <c r="P100" s="704" t="s">
        <v>1335</v>
      </c>
      <c r="Q100" s="703">
        <v>0</v>
      </c>
      <c r="R100" s="703">
        <v>0</v>
      </c>
      <c r="S100" s="703">
        <v>0</v>
      </c>
      <c r="T100" s="702">
        <v>0</v>
      </c>
      <c r="U100" s="702">
        <v>38970</v>
      </c>
      <c r="V100" s="702">
        <v>38970</v>
      </c>
      <c r="W100" s="703">
        <v>0</v>
      </c>
      <c r="X100" s="703">
        <v>0</v>
      </c>
      <c r="Y100" s="703">
        <v>0</v>
      </c>
      <c r="Z100" s="703">
        <v>0</v>
      </c>
      <c r="AA100" s="703">
        <v>0</v>
      </c>
      <c r="AB100" s="703">
        <v>0</v>
      </c>
      <c r="AC100" s="703">
        <v>0</v>
      </c>
      <c r="AD100" s="703">
        <v>0</v>
      </c>
      <c r="AE100" s="703">
        <v>0</v>
      </c>
      <c r="AF100" s="703">
        <v>0</v>
      </c>
      <c r="AG100" s="703">
        <v>0</v>
      </c>
      <c r="AH100" s="703">
        <v>0</v>
      </c>
      <c r="AI100" s="140"/>
    </row>
    <row r="101" spans="1:35" ht="14">
      <c r="A101" s="652" t="s">
        <v>1336</v>
      </c>
      <c r="B101" s="647">
        <f t="shared" si="13"/>
        <v>0</v>
      </c>
      <c r="C101" s="648">
        <f t="shared" si="14"/>
        <v>0</v>
      </c>
      <c r="D101" s="646"/>
      <c r="E101" s="646"/>
      <c r="F101" s="647">
        <f t="shared" si="15"/>
        <v>0</v>
      </c>
      <c r="G101" s="648">
        <f t="shared" si="16"/>
        <v>0</v>
      </c>
      <c r="H101" s="647">
        <f t="shared" si="17"/>
        <v>0</v>
      </c>
      <c r="I101" s="648">
        <f t="shared" si="18"/>
        <v>0</v>
      </c>
      <c r="J101" s="647">
        <f t="shared" si="19"/>
        <v>0</v>
      </c>
      <c r="K101" s="648">
        <f t="shared" si="20"/>
        <v>0</v>
      </c>
      <c r="L101" s="647">
        <f t="shared" si="21"/>
        <v>0</v>
      </c>
      <c r="M101" s="648">
        <f t="shared" si="22"/>
        <v>0</v>
      </c>
      <c r="N101" s="33"/>
      <c r="P101" s="142" t="s">
        <v>1336</v>
      </c>
      <c r="Q101" s="703">
        <v>56182</v>
      </c>
      <c r="R101" s="703">
        <v>0</v>
      </c>
      <c r="S101" s="703">
        <v>56182</v>
      </c>
      <c r="T101" s="702">
        <v>438635</v>
      </c>
      <c r="U101" s="702">
        <v>16845</v>
      </c>
      <c r="V101" s="702">
        <v>455480</v>
      </c>
      <c r="W101" s="703">
        <v>79957</v>
      </c>
      <c r="X101" s="703">
        <v>0</v>
      </c>
      <c r="Y101" s="703">
        <v>79957</v>
      </c>
      <c r="Z101" s="703">
        <v>5597</v>
      </c>
      <c r="AA101" s="703">
        <v>0</v>
      </c>
      <c r="AB101" s="703">
        <v>5597</v>
      </c>
      <c r="AC101" s="703">
        <v>19421</v>
      </c>
      <c r="AD101" s="703">
        <v>0</v>
      </c>
      <c r="AE101" s="703">
        <v>19421</v>
      </c>
      <c r="AF101" s="703">
        <v>236375</v>
      </c>
      <c r="AG101" s="703">
        <v>0</v>
      </c>
      <c r="AH101" s="703">
        <v>236375</v>
      </c>
      <c r="AI101" s="140"/>
    </row>
    <row r="102" spans="1:35" ht="14">
      <c r="A102" s="652" t="s">
        <v>1337</v>
      </c>
      <c r="B102" s="647">
        <f t="shared" si="13"/>
        <v>0</v>
      </c>
      <c r="C102" s="648">
        <f t="shared" si="14"/>
        <v>0</v>
      </c>
      <c r="D102" s="646"/>
      <c r="E102" s="646"/>
      <c r="F102" s="647">
        <f t="shared" si="15"/>
        <v>0</v>
      </c>
      <c r="G102" s="648">
        <f t="shared" si="16"/>
        <v>0</v>
      </c>
      <c r="H102" s="647">
        <f t="shared" si="17"/>
        <v>0</v>
      </c>
      <c r="I102" s="648">
        <f t="shared" si="18"/>
        <v>0</v>
      </c>
      <c r="J102" s="647">
        <f t="shared" si="19"/>
        <v>0</v>
      </c>
      <c r="K102" s="648">
        <f t="shared" si="20"/>
        <v>0</v>
      </c>
      <c r="L102" s="647">
        <f t="shared" si="21"/>
        <v>0</v>
      </c>
      <c r="M102" s="648">
        <f t="shared" si="22"/>
        <v>0</v>
      </c>
      <c r="N102" s="33"/>
      <c r="P102" s="142" t="s">
        <v>1337</v>
      </c>
      <c r="Q102" s="703">
        <v>0</v>
      </c>
      <c r="R102" s="703">
        <v>0</v>
      </c>
      <c r="S102" s="703">
        <v>0</v>
      </c>
      <c r="T102" s="702">
        <v>0</v>
      </c>
      <c r="U102" s="702">
        <v>0</v>
      </c>
      <c r="V102" s="702">
        <v>0</v>
      </c>
      <c r="W102" s="703">
        <v>0</v>
      </c>
      <c r="X102" s="703">
        <v>0</v>
      </c>
      <c r="Y102" s="703">
        <v>0</v>
      </c>
      <c r="Z102" s="703">
        <v>0</v>
      </c>
      <c r="AA102" s="703">
        <v>0</v>
      </c>
      <c r="AB102" s="703">
        <v>0</v>
      </c>
      <c r="AC102" s="703">
        <v>0</v>
      </c>
      <c r="AD102" s="703">
        <v>0</v>
      </c>
      <c r="AE102" s="703">
        <v>0</v>
      </c>
      <c r="AF102" s="703">
        <v>0</v>
      </c>
      <c r="AG102" s="703">
        <v>0</v>
      </c>
      <c r="AH102" s="703">
        <v>0</v>
      </c>
      <c r="AI102" s="140"/>
    </row>
    <row r="103" spans="1:35" ht="14">
      <c r="A103" s="650" t="s">
        <v>1338</v>
      </c>
      <c r="B103" s="647">
        <f t="shared" si="13"/>
        <v>0</v>
      </c>
      <c r="C103" s="648">
        <f t="shared" si="14"/>
        <v>0</v>
      </c>
      <c r="D103" s="646"/>
      <c r="E103" s="646"/>
      <c r="F103" s="647">
        <f t="shared" si="15"/>
        <v>0</v>
      </c>
      <c r="G103" s="648">
        <f t="shared" si="16"/>
        <v>0</v>
      </c>
      <c r="H103" s="647">
        <f t="shared" si="17"/>
        <v>0</v>
      </c>
      <c r="I103" s="648">
        <f t="shared" si="18"/>
        <v>0</v>
      </c>
      <c r="J103" s="647">
        <f t="shared" si="19"/>
        <v>0</v>
      </c>
      <c r="K103" s="648">
        <f t="shared" si="20"/>
        <v>0</v>
      </c>
      <c r="L103" s="647">
        <f t="shared" si="21"/>
        <v>0</v>
      </c>
      <c r="M103" s="648">
        <f t="shared" si="22"/>
        <v>0</v>
      </c>
      <c r="N103" s="33"/>
      <c r="P103" s="704" t="s">
        <v>1338</v>
      </c>
      <c r="Q103" s="703">
        <v>0</v>
      </c>
      <c r="R103" s="703">
        <v>0</v>
      </c>
      <c r="S103" s="703">
        <v>0</v>
      </c>
      <c r="T103" s="702">
        <v>0</v>
      </c>
      <c r="U103" s="702">
        <v>0</v>
      </c>
      <c r="V103" s="702">
        <v>0</v>
      </c>
      <c r="W103" s="703">
        <v>0</v>
      </c>
      <c r="X103" s="703">
        <v>0</v>
      </c>
      <c r="Y103" s="703">
        <v>0</v>
      </c>
      <c r="Z103" s="703">
        <v>0</v>
      </c>
      <c r="AA103" s="703">
        <v>0</v>
      </c>
      <c r="AB103" s="703">
        <v>0</v>
      </c>
      <c r="AC103" s="703">
        <v>0</v>
      </c>
      <c r="AD103" s="703">
        <v>0</v>
      </c>
      <c r="AE103" s="703">
        <v>0</v>
      </c>
      <c r="AF103" s="703">
        <v>0</v>
      </c>
      <c r="AG103" s="703">
        <v>0</v>
      </c>
      <c r="AH103" s="703">
        <v>0</v>
      </c>
      <c r="AI103" s="140"/>
    </row>
    <row r="104" spans="1:35" ht="14">
      <c r="A104" s="650" t="s">
        <v>1339</v>
      </c>
      <c r="B104" s="647">
        <f t="shared" si="13"/>
        <v>339914.2756730913</v>
      </c>
      <c r="C104" s="648">
        <f t="shared" si="14"/>
        <v>112307.70710090839</v>
      </c>
      <c r="D104" s="646"/>
      <c r="E104" s="646"/>
      <c r="F104" s="647">
        <f t="shared" si="15"/>
        <v>0</v>
      </c>
      <c r="G104" s="648">
        <f t="shared" si="16"/>
        <v>0</v>
      </c>
      <c r="H104" s="647">
        <f t="shared" si="17"/>
        <v>451550.24047895987</v>
      </c>
      <c r="I104" s="648">
        <f t="shared" si="18"/>
        <v>369673.72678164934</v>
      </c>
      <c r="J104" s="647">
        <f t="shared" si="19"/>
        <v>0</v>
      </c>
      <c r="K104" s="648">
        <f t="shared" si="20"/>
        <v>0</v>
      </c>
      <c r="L104" s="647">
        <f t="shared" si="21"/>
        <v>0</v>
      </c>
      <c r="M104" s="648">
        <f t="shared" si="22"/>
        <v>0</v>
      </c>
      <c r="N104" s="33"/>
      <c r="P104" s="704" t="s">
        <v>1339</v>
      </c>
      <c r="Q104" s="703">
        <v>26819</v>
      </c>
      <c r="R104" s="703">
        <v>8861</v>
      </c>
      <c r="S104" s="703">
        <v>35680</v>
      </c>
      <c r="T104" s="702">
        <v>31924</v>
      </c>
      <c r="U104" s="702">
        <v>17929</v>
      </c>
      <c r="V104" s="702">
        <v>49853</v>
      </c>
      <c r="W104" s="703">
        <v>0</v>
      </c>
      <c r="X104" s="703">
        <v>0</v>
      </c>
      <c r="Y104" s="703">
        <v>0</v>
      </c>
      <c r="Z104" s="703">
        <v>35627</v>
      </c>
      <c r="AA104" s="703">
        <v>29167</v>
      </c>
      <c r="AB104" s="703">
        <v>64794</v>
      </c>
      <c r="AC104" s="703">
        <v>0</v>
      </c>
      <c r="AD104" s="703">
        <v>0</v>
      </c>
      <c r="AE104" s="703">
        <v>0</v>
      </c>
      <c r="AF104" s="703">
        <v>0</v>
      </c>
      <c r="AG104" s="703">
        <v>0</v>
      </c>
      <c r="AH104" s="703">
        <v>0</v>
      </c>
      <c r="AI104" s="140"/>
    </row>
    <row r="105" spans="1:35" ht="14">
      <c r="A105" s="650" t="s">
        <v>1340</v>
      </c>
      <c r="B105" s="647">
        <f t="shared" si="13"/>
        <v>0</v>
      </c>
      <c r="C105" s="648">
        <f t="shared" si="14"/>
        <v>0</v>
      </c>
      <c r="D105" s="646"/>
      <c r="E105" s="646"/>
      <c r="F105" s="647">
        <f t="shared" si="15"/>
        <v>0</v>
      </c>
      <c r="G105" s="648">
        <f t="shared" si="16"/>
        <v>0</v>
      </c>
      <c r="H105" s="647">
        <f t="shared" si="17"/>
        <v>0</v>
      </c>
      <c r="I105" s="648">
        <f t="shared" si="18"/>
        <v>0</v>
      </c>
      <c r="J105" s="647">
        <f t="shared" si="19"/>
        <v>0</v>
      </c>
      <c r="K105" s="648">
        <f t="shared" si="20"/>
        <v>0</v>
      </c>
      <c r="L105" s="647">
        <f t="shared" si="21"/>
        <v>0</v>
      </c>
      <c r="M105" s="648">
        <f t="shared" si="22"/>
        <v>0</v>
      </c>
      <c r="N105" s="33"/>
      <c r="P105" s="704" t="s">
        <v>1340</v>
      </c>
      <c r="Q105" s="703">
        <v>0</v>
      </c>
      <c r="R105" s="703">
        <v>0</v>
      </c>
      <c r="S105" s="703">
        <v>0</v>
      </c>
      <c r="T105" s="702">
        <v>445332</v>
      </c>
      <c r="U105" s="702">
        <v>0</v>
      </c>
      <c r="V105" s="702">
        <v>445332</v>
      </c>
      <c r="W105" s="703">
        <v>0</v>
      </c>
      <c r="X105" s="703">
        <v>0</v>
      </c>
      <c r="Y105" s="703">
        <v>0</v>
      </c>
      <c r="Z105" s="703">
        <v>0</v>
      </c>
      <c r="AA105" s="703">
        <v>0</v>
      </c>
      <c r="AB105" s="703">
        <v>0</v>
      </c>
      <c r="AC105" s="703">
        <v>0</v>
      </c>
      <c r="AD105" s="703">
        <v>0</v>
      </c>
      <c r="AE105" s="703">
        <v>0</v>
      </c>
      <c r="AF105" s="703">
        <v>0</v>
      </c>
      <c r="AG105" s="703">
        <v>0</v>
      </c>
      <c r="AH105" s="703">
        <v>0</v>
      </c>
      <c r="AI105" s="140"/>
    </row>
    <row r="106" spans="1:35" ht="15" customHeight="1">
      <c r="A106" s="650" t="s">
        <v>1341</v>
      </c>
      <c r="B106" s="647">
        <f t="shared" si="13"/>
        <v>0</v>
      </c>
      <c r="C106" s="648">
        <f t="shared" si="14"/>
        <v>0</v>
      </c>
      <c r="D106" s="646"/>
      <c r="E106" s="646"/>
      <c r="F106" s="647">
        <f t="shared" si="15"/>
        <v>0</v>
      </c>
      <c r="G106" s="648">
        <f t="shared" si="16"/>
        <v>0</v>
      </c>
      <c r="H106" s="647">
        <f t="shared" si="17"/>
        <v>8126.3639306744035</v>
      </c>
      <c r="I106" s="648">
        <f t="shared" si="18"/>
        <v>0</v>
      </c>
      <c r="J106" s="647">
        <f t="shared" si="19"/>
        <v>0</v>
      </c>
      <c r="K106" s="648">
        <f t="shared" si="20"/>
        <v>0</v>
      </c>
      <c r="L106" s="647">
        <f t="shared" si="21"/>
        <v>0</v>
      </c>
      <c r="M106" s="648">
        <f t="shared" si="22"/>
        <v>0</v>
      </c>
      <c r="N106" s="33"/>
      <c r="O106" s="54"/>
      <c r="P106" s="704" t="s">
        <v>1341</v>
      </c>
      <c r="Q106" s="703">
        <v>0</v>
      </c>
      <c r="R106" s="703">
        <v>0</v>
      </c>
      <c r="S106" s="703">
        <v>0</v>
      </c>
      <c r="T106" s="702">
        <v>0</v>
      </c>
      <c r="U106" s="702">
        <v>0</v>
      </c>
      <c r="V106" s="702">
        <v>0</v>
      </c>
      <c r="W106" s="703">
        <v>0</v>
      </c>
      <c r="X106" s="703">
        <v>0</v>
      </c>
      <c r="Y106" s="703">
        <v>0</v>
      </c>
      <c r="Z106" s="703">
        <v>1075</v>
      </c>
      <c r="AA106" s="703">
        <v>0</v>
      </c>
      <c r="AB106" s="703">
        <v>1075</v>
      </c>
      <c r="AC106" s="703">
        <v>0</v>
      </c>
      <c r="AD106" s="703">
        <v>0</v>
      </c>
      <c r="AE106" s="703">
        <v>0</v>
      </c>
      <c r="AF106" s="703">
        <v>0</v>
      </c>
      <c r="AG106" s="703">
        <v>0</v>
      </c>
      <c r="AH106" s="703">
        <v>0</v>
      </c>
      <c r="AI106" s="140"/>
    </row>
    <row r="107" spans="1:35" ht="18" customHeight="1">
      <c r="A107" s="650" t="s">
        <v>1342</v>
      </c>
      <c r="B107" s="647">
        <f t="shared" si="13"/>
        <v>0</v>
      </c>
      <c r="C107" s="648">
        <f t="shared" si="14"/>
        <v>0</v>
      </c>
      <c r="D107" s="646"/>
      <c r="E107" s="646"/>
      <c r="F107" s="647">
        <f t="shared" si="15"/>
        <v>0</v>
      </c>
      <c r="G107" s="648">
        <f t="shared" si="16"/>
        <v>0</v>
      </c>
      <c r="H107" s="647">
        <f t="shared" si="17"/>
        <v>0</v>
      </c>
      <c r="I107" s="648">
        <f t="shared" si="18"/>
        <v>0</v>
      </c>
      <c r="J107" s="647">
        <f t="shared" si="19"/>
        <v>0</v>
      </c>
      <c r="K107" s="648">
        <f t="shared" si="20"/>
        <v>0</v>
      </c>
      <c r="L107" s="647">
        <f t="shared" si="21"/>
        <v>0</v>
      </c>
      <c r="M107" s="648">
        <f t="shared" si="22"/>
        <v>0</v>
      </c>
      <c r="N107" s="33"/>
      <c r="O107" s="33"/>
      <c r="P107" s="704" t="s">
        <v>1342</v>
      </c>
      <c r="Q107" s="703">
        <v>0</v>
      </c>
      <c r="R107" s="703">
        <v>0</v>
      </c>
      <c r="S107" s="703">
        <v>0</v>
      </c>
      <c r="T107" s="702">
        <v>0</v>
      </c>
      <c r="U107" s="702">
        <v>0</v>
      </c>
      <c r="V107" s="702">
        <v>0</v>
      </c>
      <c r="W107" s="703">
        <v>0</v>
      </c>
      <c r="X107" s="703">
        <v>0</v>
      </c>
      <c r="Y107" s="703">
        <v>0</v>
      </c>
      <c r="Z107" s="703">
        <v>0</v>
      </c>
      <c r="AA107" s="703">
        <v>0</v>
      </c>
      <c r="AB107" s="703">
        <v>0</v>
      </c>
      <c r="AC107" s="703">
        <v>0</v>
      </c>
      <c r="AD107" s="703">
        <v>0</v>
      </c>
      <c r="AE107" s="703">
        <v>0</v>
      </c>
      <c r="AF107" s="703">
        <v>0</v>
      </c>
      <c r="AG107" s="703">
        <v>0</v>
      </c>
      <c r="AH107" s="703">
        <v>0</v>
      </c>
      <c r="AI107" s="140"/>
    </row>
    <row r="108" spans="1:35" ht="14">
      <c r="A108" s="650" t="s">
        <v>1343</v>
      </c>
      <c r="B108" s="647">
        <f t="shared" si="13"/>
        <v>0</v>
      </c>
      <c r="C108" s="648">
        <f t="shared" si="14"/>
        <v>0</v>
      </c>
      <c r="D108" s="646"/>
      <c r="E108" s="646"/>
      <c r="F108" s="647">
        <f t="shared" si="15"/>
        <v>0</v>
      </c>
      <c r="G108" s="648">
        <f t="shared" si="16"/>
        <v>0</v>
      </c>
      <c r="H108" s="647">
        <f t="shared" si="17"/>
        <v>1887.1123509294575</v>
      </c>
      <c r="I108" s="648">
        <f t="shared" si="18"/>
        <v>0</v>
      </c>
      <c r="J108" s="647">
        <f t="shared" si="19"/>
        <v>0</v>
      </c>
      <c r="K108" s="648">
        <f t="shared" si="20"/>
        <v>0</v>
      </c>
      <c r="L108" s="647">
        <f t="shared" si="21"/>
        <v>0</v>
      </c>
      <c r="M108" s="648">
        <f t="shared" si="22"/>
        <v>0</v>
      </c>
      <c r="N108" s="33"/>
      <c r="O108" s="33"/>
      <c r="P108" s="704" t="s">
        <v>1343</v>
      </c>
      <c r="Q108" s="703">
        <v>0</v>
      </c>
      <c r="R108" s="703">
        <v>0</v>
      </c>
      <c r="S108" s="703">
        <v>0</v>
      </c>
      <c r="T108" s="702">
        <v>0</v>
      </c>
      <c r="U108" s="702">
        <v>0</v>
      </c>
      <c r="V108" s="702">
        <v>0</v>
      </c>
      <c r="W108" s="703">
        <v>0</v>
      </c>
      <c r="X108" s="703">
        <v>0</v>
      </c>
      <c r="Y108" s="703">
        <v>0</v>
      </c>
      <c r="Z108" s="703">
        <v>162</v>
      </c>
      <c r="AA108" s="703">
        <v>0</v>
      </c>
      <c r="AB108" s="703">
        <v>162</v>
      </c>
      <c r="AC108" s="703">
        <v>0</v>
      </c>
      <c r="AD108" s="703">
        <v>0</v>
      </c>
      <c r="AE108" s="703">
        <v>0</v>
      </c>
      <c r="AF108" s="703">
        <v>0</v>
      </c>
      <c r="AG108" s="703">
        <v>0</v>
      </c>
      <c r="AH108" s="703">
        <v>0</v>
      </c>
      <c r="AI108" s="140"/>
    </row>
    <row r="109" spans="1:35" ht="14">
      <c r="A109" s="188" t="s">
        <v>1344</v>
      </c>
      <c r="B109" s="647">
        <f t="shared" si="13"/>
        <v>0</v>
      </c>
      <c r="C109" s="648">
        <f t="shared" si="14"/>
        <v>0</v>
      </c>
      <c r="D109" s="646"/>
      <c r="E109" s="646"/>
      <c r="F109" s="647">
        <f t="shared" si="15"/>
        <v>0</v>
      </c>
      <c r="G109" s="648">
        <f t="shared" si="16"/>
        <v>0</v>
      </c>
      <c r="H109" s="647">
        <f t="shared" si="17"/>
        <v>0</v>
      </c>
      <c r="I109" s="648">
        <f t="shared" si="18"/>
        <v>0</v>
      </c>
      <c r="J109" s="647">
        <f t="shared" si="19"/>
        <v>0</v>
      </c>
      <c r="K109" s="648">
        <f t="shared" si="20"/>
        <v>0</v>
      </c>
      <c r="L109" s="647">
        <f t="shared" si="21"/>
        <v>0</v>
      </c>
      <c r="M109" s="648">
        <f t="shared" si="22"/>
        <v>0</v>
      </c>
      <c r="N109" s="33"/>
      <c r="O109" s="55"/>
      <c r="P109" s="188" t="s">
        <v>1344</v>
      </c>
      <c r="Q109" s="703">
        <v>0</v>
      </c>
      <c r="R109" s="703">
        <v>2174</v>
      </c>
      <c r="S109" s="703">
        <v>2174</v>
      </c>
      <c r="T109" s="702">
        <v>105688</v>
      </c>
      <c r="U109" s="702">
        <v>2378617</v>
      </c>
      <c r="V109" s="702">
        <v>2484305</v>
      </c>
      <c r="W109" s="703">
        <v>0</v>
      </c>
      <c r="X109" s="703">
        <v>0</v>
      </c>
      <c r="Y109" s="703">
        <v>0</v>
      </c>
      <c r="Z109" s="703">
        <v>0</v>
      </c>
      <c r="AA109" s="703">
        <v>667</v>
      </c>
      <c r="AB109" s="703">
        <v>667</v>
      </c>
      <c r="AC109" s="703">
        <v>0</v>
      </c>
      <c r="AD109" s="703">
        <v>0</v>
      </c>
      <c r="AE109" s="703">
        <v>0</v>
      </c>
      <c r="AF109" s="703">
        <v>0</v>
      </c>
      <c r="AG109" s="703">
        <v>0</v>
      </c>
      <c r="AH109" s="703">
        <v>0</v>
      </c>
      <c r="AI109" s="140"/>
    </row>
    <row r="110" spans="1:35" ht="14">
      <c r="A110" s="650" t="s">
        <v>1345</v>
      </c>
      <c r="B110" s="647">
        <f t="shared" si="13"/>
        <v>0</v>
      </c>
      <c r="C110" s="648">
        <f t="shared" si="14"/>
        <v>0</v>
      </c>
      <c r="D110" s="646"/>
      <c r="E110" s="646"/>
      <c r="F110" s="647">
        <f t="shared" si="15"/>
        <v>0</v>
      </c>
      <c r="G110" s="648">
        <f t="shared" si="16"/>
        <v>0</v>
      </c>
      <c r="H110" s="647">
        <f t="shared" si="17"/>
        <v>0</v>
      </c>
      <c r="I110" s="648">
        <f t="shared" si="18"/>
        <v>0</v>
      </c>
      <c r="J110" s="647">
        <f t="shared" si="19"/>
        <v>0</v>
      </c>
      <c r="K110" s="648">
        <f t="shared" si="20"/>
        <v>0</v>
      </c>
      <c r="L110" s="647">
        <f t="shared" si="21"/>
        <v>0</v>
      </c>
      <c r="M110" s="648">
        <f t="shared" si="22"/>
        <v>0</v>
      </c>
      <c r="N110" s="33"/>
      <c r="O110" s="33"/>
      <c r="P110" s="704" t="s">
        <v>1345</v>
      </c>
      <c r="Q110" s="703">
        <v>0</v>
      </c>
      <c r="R110" s="703">
        <v>0</v>
      </c>
      <c r="S110" s="703">
        <v>0</v>
      </c>
      <c r="T110" s="702">
        <v>1047335</v>
      </c>
      <c r="U110" s="702">
        <v>0</v>
      </c>
      <c r="V110" s="702">
        <v>1047335</v>
      </c>
      <c r="W110" s="703">
        <v>0</v>
      </c>
      <c r="X110" s="703">
        <v>0</v>
      </c>
      <c r="Y110" s="703">
        <v>0</v>
      </c>
      <c r="Z110" s="703">
        <v>0</v>
      </c>
      <c r="AA110" s="703">
        <v>0</v>
      </c>
      <c r="AB110" s="703">
        <v>0</v>
      </c>
      <c r="AC110" s="703">
        <v>0</v>
      </c>
      <c r="AD110" s="703">
        <v>0</v>
      </c>
      <c r="AE110" s="703">
        <v>0</v>
      </c>
      <c r="AF110" s="703">
        <v>0</v>
      </c>
      <c r="AG110" s="703">
        <v>0</v>
      </c>
      <c r="AH110" s="703">
        <v>0</v>
      </c>
      <c r="AI110" s="140"/>
    </row>
    <row r="111" spans="1:35" ht="14">
      <c r="A111" s="650" t="s">
        <v>1346</v>
      </c>
      <c r="B111" s="647">
        <f t="shared" si="13"/>
        <v>0</v>
      </c>
      <c r="C111" s="648">
        <f t="shared" si="14"/>
        <v>0</v>
      </c>
      <c r="D111" s="646"/>
      <c r="E111" s="646"/>
      <c r="F111" s="647">
        <f t="shared" si="15"/>
        <v>0</v>
      </c>
      <c r="G111" s="648">
        <f t="shared" si="16"/>
        <v>0</v>
      </c>
      <c r="H111" s="647">
        <f t="shared" si="17"/>
        <v>0</v>
      </c>
      <c r="I111" s="648">
        <f t="shared" si="18"/>
        <v>0</v>
      </c>
      <c r="J111" s="647">
        <f t="shared" si="19"/>
        <v>0</v>
      </c>
      <c r="K111" s="648">
        <f t="shared" si="20"/>
        <v>0</v>
      </c>
      <c r="L111" s="647">
        <f t="shared" si="21"/>
        <v>0</v>
      </c>
      <c r="M111" s="648">
        <f t="shared" si="22"/>
        <v>0</v>
      </c>
      <c r="N111" s="33"/>
      <c r="P111" s="704" t="s">
        <v>1346</v>
      </c>
      <c r="Q111" s="703">
        <v>9400</v>
      </c>
      <c r="R111" s="703">
        <v>0</v>
      </c>
      <c r="S111" s="703">
        <v>9400</v>
      </c>
      <c r="T111" s="702">
        <v>137992</v>
      </c>
      <c r="U111" s="702">
        <v>68414</v>
      </c>
      <c r="V111" s="702">
        <v>206406</v>
      </c>
      <c r="W111" s="703">
        <v>0</v>
      </c>
      <c r="X111" s="703">
        <v>0</v>
      </c>
      <c r="Y111" s="703">
        <v>0</v>
      </c>
      <c r="Z111" s="703">
        <v>1263</v>
      </c>
      <c r="AA111" s="703">
        <v>0</v>
      </c>
      <c r="AB111" s="703">
        <v>1263</v>
      </c>
      <c r="AC111" s="703">
        <v>9895</v>
      </c>
      <c r="AD111" s="703">
        <v>252</v>
      </c>
      <c r="AE111" s="703">
        <v>10147</v>
      </c>
      <c r="AF111" s="703">
        <v>0</v>
      </c>
      <c r="AG111" s="703">
        <v>0</v>
      </c>
      <c r="AH111" s="703">
        <v>0</v>
      </c>
      <c r="AI111" s="140"/>
    </row>
    <row r="112" spans="1:35" ht="14">
      <c r="A112" s="650" t="s">
        <v>1347</v>
      </c>
      <c r="B112" s="647">
        <f t="shared" si="13"/>
        <v>120154.8262025001</v>
      </c>
      <c r="C112" s="648">
        <f t="shared" si="14"/>
        <v>0</v>
      </c>
      <c r="D112" s="646"/>
      <c r="E112" s="646"/>
      <c r="F112" s="647">
        <f t="shared" si="15"/>
        <v>0</v>
      </c>
      <c r="G112" s="648">
        <f t="shared" si="16"/>
        <v>0</v>
      </c>
      <c r="H112" s="647">
        <f t="shared" si="17"/>
        <v>1703818.519287522</v>
      </c>
      <c r="I112" s="648">
        <f t="shared" si="18"/>
        <v>0</v>
      </c>
      <c r="J112" s="647">
        <f t="shared" si="19"/>
        <v>0</v>
      </c>
      <c r="K112" s="648">
        <f t="shared" si="20"/>
        <v>0</v>
      </c>
      <c r="L112" s="647">
        <f t="shared" si="21"/>
        <v>0</v>
      </c>
      <c r="M112" s="648">
        <f t="shared" si="22"/>
        <v>0</v>
      </c>
      <c r="N112" s="33"/>
      <c r="P112" s="704" t="s">
        <v>1347</v>
      </c>
      <c r="Q112" s="703">
        <v>6038</v>
      </c>
      <c r="R112" s="703">
        <v>0</v>
      </c>
      <c r="S112" s="703">
        <v>6038</v>
      </c>
      <c r="T112" s="702">
        <v>0</v>
      </c>
      <c r="U112" s="702">
        <v>1651</v>
      </c>
      <c r="V112" s="702">
        <v>1651</v>
      </c>
      <c r="W112" s="703">
        <v>0</v>
      </c>
      <c r="X112" s="703">
        <v>0</v>
      </c>
      <c r="Y112" s="703">
        <v>0</v>
      </c>
      <c r="Z112" s="703">
        <v>85620</v>
      </c>
      <c r="AA112" s="703">
        <v>0</v>
      </c>
      <c r="AB112" s="703">
        <v>85620</v>
      </c>
      <c r="AC112" s="703">
        <v>0</v>
      </c>
      <c r="AD112" s="703">
        <v>0</v>
      </c>
      <c r="AE112" s="703">
        <v>0</v>
      </c>
      <c r="AF112" s="703">
        <v>0</v>
      </c>
      <c r="AG112" s="703">
        <v>0</v>
      </c>
      <c r="AH112" s="703">
        <v>0</v>
      </c>
      <c r="AI112" s="140"/>
    </row>
    <row r="113" spans="1:40" ht="13">
      <c r="N113" s="33"/>
      <c r="O113" s="33"/>
      <c r="P113" s="705" t="s">
        <v>196</v>
      </c>
      <c r="Q113" s="706">
        <v>98439</v>
      </c>
      <c r="R113" s="706">
        <v>11035</v>
      </c>
      <c r="S113" s="706">
        <v>109474</v>
      </c>
      <c r="T113" s="706">
        <v>2206906</v>
      </c>
      <c r="U113" s="706">
        <v>2574379</v>
      </c>
      <c r="V113" s="706">
        <v>4781285</v>
      </c>
      <c r="W113" s="706">
        <v>79957</v>
      </c>
      <c r="X113" s="706">
        <v>0</v>
      </c>
      <c r="Y113" s="706">
        <v>79957</v>
      </c>
      <c r="Z113" s="706">
        <v>129344</v>
      </c>
      <c r="AA113" s="706">
        <v>29834</v>
      </c>
      <c r="AB113" s="706">
        <v>159178</v>
      </c>
      <c r="AC113" s="706">
        <v>29316</v>
      </c>
      <c r="AD113" s="706">
        <v>252</v>
      </c>
      <c r="AE113" s="706">
        <v>29568</v>
      </c>
      <c r="AF113" s="706">
        <v>236375</v>
      </c>
      <c r="AG113" s="706">
        <v>0</v>
      </c>
      <c r="AH113" s="706">
        <v>236375</v>
      </c>
      <c r="AI113" s="140">
        <f>S113+V113+Y113+AB113+AE113+AH113</f>
        <v>5395837</v>
      </c>
      <c r="AJ113" s="654"/>
    </row>
    <row r="114" spans="1:40" ht="14">
      <c r="A114" s="658"/>
      <c r="B114" s="658"/>
      <c r="C114" s="61"/>
      <c r="D114" s="61"/>
      <c r="E114" s="61"/>
      <c r="I114" s="61"/>
      <c r="J114" s="61"/>
      <c r="K114" s="33"/>
      <c r="O114" s="33"/>
      <c r="P114" s="33"/>
      <c r="Q114" s="33"/>
      <c r="R114" s="33"/>
    </row>
    <row r="115" spans="1:40" ht="14.5" thickBot="1">
      <c r="A115" s="658"/>
      <c r="B115" s="658"/>
      <c r="C115" s="61"/>
      <c r="D115" s="61"/>
      <c r="E115" s="61"/>
      <c r="F115" s="62"/>
      <c r="G115" s="659"/>
      <c r="H115" s="61"/>
      <c r="I115" s="61"/>
      <c r="J115" s="61"/>
      <c r="K115" s="33"/>
      <c r="O115" s="33"/>
      <c r="P115" s="33"/>
      <c r="Q115" s="33"/>
      <c r="R115" s="33"/>
    </row>
    <row r="116" spans="1:40" ht="15.75" customHeight="1" thickBot="1">
      <c r="A116" s="878" t="s">
        <v>1386</v>
      </c>
      <c r="B116" s="879"/>
      <c r="C116" s="879"/>
      <c r="D116" s="879"/>
      <c r="E116" s="879"/>
      <c r="F116" s="879"/>
      <c r="G116" s="879"/>
      <c r="H116" s="879"/>
      <c r="I116" s="879"/>
      <c r="J116" s="879"/>
      <c r="K116" s="879"/>
      <c r="L116" s="879"/>
      <c r="M116" s="882"/>
      <c r="N116" s="138"/>
      <c r="O116" s="33"/>
      <c r="P116" s="872" t="s">
        <v>1385</v>
      </c>
      <c r="Q116" s="878" t="s">
        <v>1386</v>
      </c>
      <c r="R116" s="879"/>
      <c r="S116" s="879"/>
      <c r="T116" s="879"/>
      <c r="U116" s="879"/>
      <c r="V116" s="879"/>
      <c r="W116" s="879"/>
      <c r="X116" s="879"/>
      <c r="Y116" s="879"/>
      <c r="Z116" s="879"/>
      <c r="AA116" s="879"/>
      <c r="AB116" s="879"/>
      <c r="AC116" s="879"/>
      <c r="AD116" s="879"/>
      <c r="AE116" s="879"/>
      <c r="AF116" s="879"/>
      <c r="AG116" s="879"/>
      <c r="AH116" s="879"/>
      <c r="AI116" s="879"/>
      <c r="AJ116" s="879"/>
      <c r="AK116" s="879"/>
      <c r="AL116" s="879"/>
      <c r="AM116" s="879"/>
      <c r="AN116" s="882"/>
    </row>
    <row r="117" spans="1:40" ht="32.25" customHeight="1" thickBot="1">
      <c r="A117" s="906" t="s">
        <v>1361</v>
      </c>
      <c r="B117" s="876" t="s">
        <v>1465</v>
      </c>
      <c r="C117" s="874" t="s">
        <v>1399</v>
      </c>
      <c r="D117" s="876" t="s">
        <v>1466</v>
      </c>
      <c r="E117" s="874" t="s">
        <v>1400</v>
      </c>
      <c r="F117" s="876" t="s">
        <v>1467</v>
      </c>
      <c r="G117" s="874" t="s">
        <v>1401</v>
      </c>
      <c r="H117" s="876" t="s">
        <v>1468</v>
      </c>
      <c r="I117" s="874" t="s">
        <v>1402</v>
      </c>
      <c r="J117" s="876" t="s">
        <v>1469</v>
      </c>
      <c r="K117" s="874" t="s">
        <v>1404</v>
      </c>
      <c r="L117" s="876" t="s">
        <v>1470</v>
      </c>
      <c r="M117" s="874" t="s">
        <v>1405</v>
      </c>
      <c r="N117" s="33"/>
      <c r="O117" s="33"/>
      <c r="P117" s="905" t="s">
        <v>1365</v>
      </c>
      <c r="Q117" s="892" t="s">
        <v>232</v>
      </c>
      <c r="R117" s="893"/>
      <c r="S117" s="893"/>
      <c r="T117" s="894"/>
      <c r="U117" s="878" t="s">
        <v>212</v>
      </c>
      <c r="V117" s="879"/>
      <c r="W117" s="879"/>
      <c r="X117" s="882"/>
      <c r="Y117" s="895" t="s">
        <v>228</v>
      </c>
      <c r="Z117" s="896"/>
      <c r="AA117" s="896"/>
      <c r="AB117" s="897"/>
      <c r="AC117" s="878" t="s">
        <v>229</v>
      </c>
      <c r="AD117" s="879"/>
      <c r="AE117" s="879"/>
      <c r="AF117" s="882"/>
      <c r="AG117" s="878" t="s">
        <v>231</v>
      </c>
      <c r="AH117" s="879"/>
      <c r="AI117" s="879"/>
      <c r="AJ117" s="882"/>
      <c r="AK117" s="878" t="s">
        <v>230</v>
      </c>
      <c r="AL117" s="879"/>
      <c r="AM117" s="879"/>
      <c r="AN117" s="882"/>
    </row>
    <row r="118" spans="1:40" ht="25.5" customHeight="1" thickBot="1">
      <c r="A118" s="907"/>
      <c r="B118" s="877"/>
      <c r="C118" s="875"/>
      <c r="D118" s="877"/>
      <c r="E118" s="875"/>
      <c r="F118" s="877" t="s">
        <v>1362</v>
      </c>
      <c r="G118" s="875" t="s">
        <v>1362</v>
      </c>
      <c r="H118" s="877" t="s">
        <v>1362</v>
      </c>
      <c r="I118" s="875" t="s">
        <v>1362</v>
      </c>
      <c r="J118" s="877" t="s">
        <v>1362</v>
      </c>
      <c r="K118" s="875" t="s">
        <v>1362</v>
      </c>
      <c r="L118" s="877" t="s">
        <v>1362</v>
      </c>
      <c r="M118" s="875" t="s">
        <v>1362</v>
      </c>
      <c r="N118" s="33"/>
      <c r="O118" s="33"/>
      <c r="P118" s="873">
        <v>6235455</v>
      </c>
      <c r="Q118" s="217" t="s">
        <v>1362</v>
      </c>
      <c r="R118" s="64" t="s">
        <v>1363</v>
      </c>
      <c r="S118" s="64" t="s">
        <v>1387</v>
      </c>
      <c r="T118" s="218" t="s">
        <v>1364</v>
      </c>
      <c r="U118" s="217" t="s">
        <v>1362</v>
      </c>
      <c r="V118" s="64" t="s">
        <v>1363</v>
      </c>
      <c r="W118" s="64" t="s">
        <v>1387</v>
      </c>
      <c r="X118" s="219" t="s">
        <v>1364</v>
      </c>
      <c r="Y118" s="707" t="s">
        <v>1362</v>
      </c>
      <c r="Z118" s="708" t="s">
        <v>1363</v>
      </c>
      <c r="AA118" s="708" t="s">
        <v>1387</v>
      </c>
      <c r="AB118" s="709" t="s">
        <v>1364</v>
      </c>
      <c r="AC118" s="217" t="s">
        <v>1362</v>
      </c>
      <c r="AD118" s="64" t="s">
        <v>1363</v>
      </c>
      <c r="AE118" s="64" t="s">
        <v>1387</v>
      </c>
      <c r="AF118" s="219" t="s">
        <v>1364</v>
      </c>
      <c r="AG118" s="217" t="s">
        <v>1362</v>
      </c>
      <c r="AH118" s="64" t="s">
        <v>1363</v>
      </c>
      <c r="AI118" s="64" t="s">
        <v>1387</v>
      </c>
      <c r="AJ118" s="219" t="s">
        <v>1364</v>
      </c>
      <c r="AK118" s="217" t="s">
        <v>1362</v>
      </c>
      <c r="AL118" s="64" t="s">
        <v>1363</v>
      </c>
      <c r="AM118" s="64" t="s">
        <v>1387</v>
      </c>
      <c r="AN118" s="218" t="s">
        <v>1364</v>
      </c>
    </row>
    <row r="119" spans="1:40" ht="22.5" customHeight="1">
      <c r="A119" s="187" t="s">
        <v>2423</v>
      </c>
      <c r="B119" s="647">
        <f t="shared" ref="B119:B137" si="23">(Q119+S119)*$D36</f>
        <v>0</v>
      </c>
      <c r="C119" s="648">
        <f t="shared" ref="C119:C137" si="24">R119*$D36</f>
        <v>0</v>
      </c>
      <c r="D119" s="647">
        <f t="shared" ref="D119:D137" si="25">(U119+W119)*$D36</f>
        <v>0</v>
      </c>
      <c r="E119" s="648">
        <f t="shared" ref="E119:E137" si="26">V119*$D36</f>
        <v>0</v>
      </c>
      <c r="F119" s="646"/>
      <c r="G119" s="646"/>
      <c r="H119" s="660">
        <f t="shared" ref="H119:H137" si="27">(AC119+AE119)*$D36</f>
        <v>0</v>
      </c>
      <c r="I119" s="661">
        <f t="shared" ref="I119:I137" si="28">AD119*$D36</f>
        <v>0</v>
      </c>
      <c r="J119" s="660">
        <f t="shared" ref="J119:J137" si="29">(AG119+AI119)*$D36</f>
        <v>0</v>
      </c>
      <c r="K119" s="648">
        <f t="shared" ref="K119:K137" si="30">AH119*$D36</f>
        <v>0</v>
      </c>
      <c r="L119" s="647">
        <f t="shared" ref="L119:L137" si="31">(AK119+AM119)*$D36</f>
        <v>0</v>
      </c>
      <c r="M119" s="648">
        <f t="shared" ref="M119:M137" si="32">AL119*$D36</f>
        <v>0</v>
      </c>
      <c r="N119" s="33"/>
      <c r="O119" s="33"/>
      <c r="P119" s="188" t="s">
        <v>2423</v>
      </c>
      <c r="Q119" s="710">
        <v>0</v>
      </c>
      <c r="R119" s="710">
        <v>0</v>
      </c>
      <c r="S119" s="710">
        <v>0</v>
      </c>
      <c r="T119" s="710">
        <v>0</v>
      </c>
      <c r="U119" s="710">
        <v>0</v>
      </c>
      <c r="V119" s="710">
        <v>0</v>
      </c>
      <c r="W119" s="710">
        <v>0</v>
      </c>
      <c r="X119" s="710">
        <v>0</v>
      </c>
      <c r="Y119" s="711">
        <v>0</v>
      </c>
      <c r="Z119" s="711">
        <v>233</v>
      </c>
      <c r="AA119" s="711">
        <v>0</v>
      </c>
      <c r="AB119" s="711">
        <v>233</v>
      </c>
      <c r="AC119" s="710">
        <v>0</v>
      </c>
      <c r="AD119" s="710">
        <v>0</v>
      </c>
      <c r="AE119" s="710">
        <v>0</v>
      </c>
      <c r="AF119" s="710">
        <v>0</v>
      </c>
      <c r="AG119" s="710">
        <v>0</v>
      </c>
      <c r="AH119" s="710">
        <v>0</v>
      </c>
      <c r="AI119" s="710">
        <v>0</v>
      </c>
      <c r="AJ119" s="710">
        <v>0</v>
      </c>
      <c r="AK119" s="710">
        <v>0</v>
      </c>
      <c r="AL119" s="710">
        <v>0</v>
      </c>
      <c r="AM119" s="710">
        <v>0</v>
      </c>
      <c r="AN119" s="710">
        <v>0</v>
      </c>
    </row>
    <row r="120" spans="1:40" ht="14">
      <c r="A120" s="650" t="s">
        <v>1330</v>
      </c>
      <c r="B120" s="647">
        <f t="shared" si="23"/>
        <v>0</v>
      </c>
      <c r="C120" s="648">
        <f t="shared" si="24"/>
        <v>0</v>
      </c>
      <c r="D120" s="647">
        <f t="shared" si="25"/>
        <v>0</v>
      </c>
      <c r="E120" s="648">
        <f t="shared" si="26"/>
        <v>1619.3151483638371</v>
      </c>
      <c r="F120" s="646"/>
      <c r="G120" s="646"/>
      <c r="H120" s="660">
        <f t="shared" si="27"/>
        <v>0</v>
      </c>
      <c r="I120" s="661">
        <f t="shared" si="28"/>
        <v>4418.8091336708094</v>
      </c>
      <c r="J120" s="660">
        <f t="shared" si="29"/>
        <v>1743906.3537197292</v>
      </c>
      <c r="K120" s="648">
        <f t="shared" si="30"/>
        <v>82.338058391381551</v>
      </c>
      <c r="L120" s="647">
        <f t="shared" si="31"/>
        <v>0</v>
      </c>
      <c r="M120" s="648">
        <f t="shared" si="32"/>
        <v>0</v>
      </c>
      <c r="N120" s="33"/>
      <c r="O120" s="33"/>
      <c r="P120" s="704" t="s">
        <v>1330</v>
      </c>
      <c r="Q120" s="710">
        <v>0</v>
      </c>
      <c r="R120" s="710">
        <v>0</v>
      </c>
      <c r="S120" s="710">
        <v>0</v>
      </c>
      <c r="T120" s="710">
        <v>0</v>
      </c>
      <c r="U120" s="710">
        <v>0</v>
      </c>
      <c r="V120" s="710">
        <v>118</v>
      </c>
      <c r="W120" s="710">
        <v>0</v>
      </c>
      <c r="X120" s="710">
        <v>118</v>
      </c>
      <c r="Y120" s="711">
        <v>59671</v>
      </c>
      <c r="Z120" s="711">
        <v>721412</v>
      </c>
      <c r="AA120" s="711">
        <v>0</v>
      </c>
      <c r="AB120" s="711">
        <v>781083</v>
      </c>
      <c r="AC120" s="710">
        <v>0</v>
      </c>
      <c r="AD120" s="710">
        <v>322</v>
      </c>
      <c r="AE120" s="710">
        <v>0</v>
      </c>
      <c r="AF120" s="710">
        <v>322</v>
      </c>
      <c r="AG120" s="710">
        <v>127079</v>
      </c>
      <c r="AH120" s="710">
        <v>6</v>
      </c>
      <c r="AI120" s="710">
        <v>0</v>
      </c>
      <c r="AJ120" s="710">
        <v>127085</v>
      </c>
      <c r="AK120" s="710">
        <v>0</v>
      </c>
      <c r="AL120" s="710">
        <v>0</v>
      </c>
      <c r="AM120" s="710">
        <v>0</v>
      </c>
      <c r="AN120" s="710">
        <v>0</v>
      </c>
    </row>
    <row r="121" spans="1:40" ht="14">
      <c r="A121" s="650" t="s">
        <v>1331</v>
      </c>
      <c r="B121" s="647">
        <f t="shared" si="23"/>
        <v>0</v>
      </c>
      <c r="C121" s="648">
        <f t="shared" si="24"/>
        <v>0</v>
      </c>
      <c r="D121" s="647">
        <f t="shared" si="25"/>
        <v>0</v>
      </c>
      <c r="E121" s="648">
        <f t="shared" si="26"/>
        <v>0</v>
      </c>
      <c r="F121" s="646"/>
      <c r="G121" s="646"/>
      <c r="H121" s="660">
        <f t="shared" si="27"/>
        <v>0</v>
      </c>
      <c r="I121" s="661">
        <f t="shared" si="28"/>
        <v>0</v>
      </c>
      <c r="J121" s="660">
        <f t="shared" si="29"/>
        <v>0</v>
      </c>
      <c r="K121" s="648">
        <f t="shared" si="30"/>
        <v>0</v>
      </c>
      <c r="L121" s="647">
        <f t="shared" si="31"/>
        <v>0</v>
      </c>
      <c r="M121" s="648">
        <f t="shared" si="32"/>
        <v>0</v>
      </c>
      <c r="N121" s="33"/>
      <c r="O121" s="33"/>
      <c r="P121" s="704" t="s">
        <v>1331</v>
      </c>
      <c r="Q121" s="710">
        <v>0</v>
      </c>
      <c r="R121" s="710">
        <v>0</v>
      </c>
      <c r="S121" s="710">
        <v>0</v>
      </c>
      <c r="T121" s="710">
        <v>0</v>
      </c>
      <c r="U121" s="710">
        <v>0</v>
      </c>
      <c r="V121" s="710">
        <v>0</v>
      </c>
      <c r="W121" s="710">
        <v>0</v>
      </c>
      <c r="X121" s="710">
        <v>0</v>
      </c>
      <c r="Y121" s="711">
        <v>0</v>
      </c>
      <c r="Z121" s="711">
        <v>58505</v>
      </c>
      <c r="AA121" s="711">
        <v>0</v>
      </c>
      <c r="AB121" s="711">
        <v>58505</v>
      </c>
      <c r="AC121" s="710">
        <v>0</v>
      </c>
      <c r="AD121" s="710">
        <v>0</v>
      </c>
      <c r="AE121" s="710">
        <v>0</v>
      </c>
      <c r="AF121" s="710">
        <v>0</v>
      </c>
      <c r="AG121" s="710">
        <v>0</v>
      </c>
      <c r="AH121" s="710">
        <v>0</v>
      </c>
      <c r="AI121" s="710">
        <v>0</v>
      </c>
      <c r="AJ121" s="710">
        <v>0</v>
      </c>
      <c r="AK121" s="710">
        <v>0</v>
      </c>
      <c r="AL121" s="710">
        <v>0</v>
      </c>
      <c r="AM121" s="710">
        <v>0</v>
      </c>
      <c r="AN121" s="710">
        <v>0</v>
      </c>
    </row>
    <row r="122" spans="1:40" ht="14">
      <c r="A122" s="650" t="s">
        <v>1332</v>
      </c>
      <c r="B122" s="647">
        <f t="shared" si="23"/>
        <v>0</v>
      </c>
      <c r="C122" s="648">
        <f t="shared" si="24"/>
        <v>0</v>
      </c>
      <c r="D122" s="647">
        <f t="shared" si="25"/>
        <v>0</v>
      </c>
      <c r="E122" s="648">
        <f t="shared" si="26"/>
        <v>0</v>
      </c>
      <c r="F122" s="646"/>
      <c r="G122" s="646"/>
      <c r="H122" s="660">
        <f t="shared" si="27"/>
        <v>0</v>
      </c>
      <c r="I122" s="661">
        <f t="shared" si="28"/>
        <v>0</v>
      </c>
      <c r="J122" s="660">
        <f t="shared" si="29"/>
        <v>0</v>
      </c>
      <c r="K122" s="648">
        <f t="shared" si="30"/>
        <v>0</v>
      </c>
      <c r="L122" s="647">
        <f t="shared" si="31"/>
        <v>0</v>
      </c>
      <c r="M122" s="648">
        <f t="shared" si="32"/>
        <v>0</v>
      </c>
      <c r="N122" s="33"/>
      <c r="O122" s="33"/>
      <c r="P122" s="704" t="s">
        <v>1332</v>
      </c>
      <c r="Q122" s="710">
        <v>0</v>
      </c>
      <c r="R122" s="710">
        <v>0</v>
      </c>
      <c r="S122" s="710">
        <v>0</v>
      </c>
      <c r="T122" s="710">
        <v>0</v>
      </c>
      <c r="U122" s="710">
        <v>0</v>
      </c>
      <c r="V122" s="710">
        <v>0</v>
      </c>
      <c r="W122" s="710">
        <v>0</v>
      </c>
      <c r="X122" s="710">
        <v>0</v>
      </c>
      <c r="Y122" s="711">
        <v>0</v>
      </c>
      <c r="Z122" s="711">
        <v>0</v>
      </c>
      <c r="AA122" s="711">
        <v>0</v>
      </c>
      <c r="AB122" s="711">
        <v>0</v>
      </c>
      <c r="AC122" s="710">
        <v>0</v>
      </c>
      <c r="AD122" s="710">
        <v>0</v>
      </c>
      <c r="AE122" s="710">
        <v>0</v>
      </c>
      <c r="AF122" s="710">
        <v>0</v>
      </c>
      <c r="AG122" s="710">
        <v>0</v>
      </c>
      <c r="AH122" s="710">
        <v>0</v>
      </c>
      <c r="AI122" s="710">
        <v>0</v>
      </c>
      <c r="AJ122" s="710">
        <v>0</v>
      </c>
      <c r="AK122" s="710">
        <v>0</v>
      </c>
      <c r="AL122" s="710">
        <v>0</v>
      </c>
      <c r="AM122" s="710">
        <v>0</v>
      </c>
      <c r="AN122" s="710">
        <v>0</v>
      </c>
    </row>
    <row r="123" spans="1:40" ht="14">
      <c r="A123" s="650" t="s">
        <v>1333</v>
      </c>
      <c r="B123" s="647">
        <f t="shared" si="23"/>
        <v>0</v>
      </c>
      <c r="C123" s="648">
        <f t="shared" si="24"/>
        <v>0</v>
      </c>
      <c r="D123" s="647">
        <f t="shared" si="25"/>
        <v>50227.581671051317</v>
      </c>
      <c r="E123" s="648">
        <f t="shared" si="26"/>
        <v>15553.991774617871</v>
      </c>
      <c r="F123" s="646"/>
      <c r="G123" s="646"/>
      <c r="H123" s="660">
        <f t="shared" si="27"/>
        <v>0</v>
      </c>
      <c r="I123" s="661">
        <f t="shared" si="28"/>
        <v>0</v>
      </c>
      <c r="J123" s="660">
        <f t="shared" si="29"/>
        <v>110390.28938692597</v>
      </c>
      <c r="K123" s="648">
        <f t="shared" si="30"/>
        <v>0</v>
      </c>
      <c r="L123" s="647">
        <f t="shared" si="31"/>
        <v>0</v>
      </c>
      <c r="M123" s="648">
        <f t="shared" si="32"/>
        <v>0</v>
      </c>
      <c r="N123" s="33"/>
      <c r="O123" s="33"/>
      <c r="P123" s="704" t="s">
        <v>1333</v>
      </c>
      <c r="Q123" s="710">
        <v>0</v>
      </c>
      <c r="R123" s="710">
        <v>0</v>
      </c>
      <c r="S123" s="710">
        <v>0</v>
      </c>
      <c r="T123" s="710">
        <v>0</v>
      </c>
      <c r="U123" s="710">
        <v>4550</v>
      </c>
      <c r="V123" s="710">
        <v>1409</v>
      </c>
      <c r="W123" s="710">
        <v>0</v>
      </c>
      <c r="X123" s="710">
        <v>5959</v>
      </c>
      <c r="Y123" s="711">
        <v>0</v>
      </c>
      <c r="Z123" s="711">
        <v>0</v>
      </c>
      <c r="AA123" s="711">
        <v>0</v>
      </c>
      <c r="AB123" s="711">
        <v>0</v>
      </c>
      <c r="AC123" s="710">
        <v>0</v>
      </c>
      <c r="AD123" s="710">
        <v>0</v>
      </c>
      <c r="AE123" s="710">
        <v>0</v>
      </c>
      <c r="AF123" s="710">
        <v>0</v>
      </c>
      <c r="AG123" s="710">
        <v>10000</v>
      </c>
      <c r="AH123" s="710">
        <v>0</v>
      </c>
      <c r="AI123" s="710">
        <v>0</v>
      </c>
      <c r="AJ123" s="710">
        <v>10000</v>
      </c>
      <c r="AK123" s="710">
        <v>0</v>
      </c>
      <c r="AL123" s="710">
        <v>0</v>
      </c>
      <c r="AM123" s="710">
        <v>0</v>
      </c>
      <c r="AN123" s="710">
        <v>0</v>
      </c>
    </row>
    <row r="124" spans="1:40" ht="14">
      <c r="A124" s="650" t="s">
        <v>1334</v>
      </c>
      <c r="B124" s="647">
        <f t="shared" si="23"/>
        <v>0</v>
      </c>
      <c r="C124" s="648">
        <f t="shared" si="24"/>
        <v>0</v>
      </c>
      <c r="D124" s="647">
        <f t="shared" si="25"/>
        <v>0</v>
      </c>
      <c r="E124" s="648">
        <f t="shared" si="26"/>
        <v>0</v>
      </c>
      <c r="F124" s="646"/>
      <c r="G124" s="646"/>
      <c r="H124" s="660">
        <f t="shared" si="27"/>
        <v>0</v>
      </c>
      <c r="I124" s="661">
        <f t="shared" si="28"/>
        <v>0</v>
      </c>
      <c r="J124" s="660">
        <f t="shared" si="29"/>
        <v>0</v>
      </c>
      <c r="K124" s="648">
        <f t="shared" si="30"/>
        <v>0</v>
      </c>
      <c r="L124" s="647">
        <f t="shared" si="31"/>
        <v>0</v>
      </c>
      <c r="M124" s="648">
        <f t="shared" si="32"/>
        <v>0</v>
      </c>
      <c r="N124" s="33"/>
      <c r="O124" s="33"/>
      <c r="P124" s="704" t="s">
        <v>1334</v>
      </c>
      <c r="Q124" s="710">
        <v>0</v>
      </c>
      <c r="R124" s="710">
        <v>0</v>
      </c>
      <c r="S124" s="710">
        <v>0</v>
      </c>
      <c r="T124" s="710">
        <v>0</v>
      </c>
      <c r="U124" s="710">
        <v>0</v>
      </c>
      <c r="V124" s="710">
        <v>0</v>
      </c>
      <c r="W124" s="710">
        <v>0</v>
      </c>
      <c r="X124" s="710">
        <v>0</v>
      </c>
      <c r="Y124" s="711">
        <v>0</v>
      </c>
      <c r="Z124" s="711">
        <v>0</v>
      </c>
      <c r="AA124" s="711">
        <v>0</v>
      </c>
      <c r="AB124" s="711">
        <v>0</v>
      </c>
      <c r="AC124" s="710">
        <v>0</v>
      </c>
      <c r="AD124" s="710">
        <v>0</v>
      </c>
      <c r="AE124" s="710">
        <v>0</v>
      </c>
      <c r="AF124" s="710">
        <v>0</v>
      </c>
      <c r="AG124" s="710">
        <v>0</v>
      </c>
      <c r="AH124" s="710">
        <v>0</v>
      </c>
      <c r="AI124" s="710">
        <v>0</v>
      </c>
      <c r="AJ124" s="710">
        <v>0</v>
      </c>
      <c r="AK124" s="710">
        <v>0</v>
      </c>
      <c r="AL124" s="710">
        <v>0</v>
      </c>
      <c r="AM124" s="710">
        <v>0</v>
      </c>
      <c r="AN124" s="710">
        <v>0</v>
      </c>
    </row>
    <row r="125" spans="1:40" ht="14">
      <c r="A125" s="650" t="s">
        <v>1335</v>
      </c>
      <c r="B125" s="647">
        <f t="shared" si="23"/>
        <v>0</v>
      </c>
      <c r="C125" s="648">
        <f t="shared" si="24"/>
        <v>0</v>
      </c>
      <c r="D125" s="647">
        <f t="shared" si="25"/>
        <v>0</v>
      </c>
      <c r="E125" s="648">
        <f t="shared" si="26"/>
        <v>0</v>
      </c>
      <c r="F125" s="646"/>
      <c r="G125" s="646"/>
      <c r="H125" s="660">
        <f t="shared" si="27"/>
        <v>0</v>
      </c>
      <c r="I125" s="661">
        <f t="shared" si="28"/>
        <v>0</v>
      </c>
      <c r="J125" s="660">
        <f t="shared" si="29"/>
        <v>0</v>
      </c>
      <c r="K125" s="648">
        <f t="shared" si="30"/>
        <v>0</v>
      </c>
      <c r="L125" s="647">
        <f t="shared" si="31"/>
        <v>0</v>
      </c>
      <c r="M125" s="648">
        <f t="shared" si="32"/>
        <v>0</v>
      </c>
      <c r="N125" s="33"/>
      <c r="O125" s="33"/>
      <c r="P125" s="704" t="s">
        <v>1335</v>
      </c>
      <c r="Q125" s="710">
        <v>0</v>
      </c>
      <c r="R125" s="710">
        <v>0</v>
      </c>
      <c r="S125" s="710">
        <v>0</v>
      </c>
      <c r="T125" s="710">
        <v>0</v>
      </c>
      <c r="U125" s="710">
        <v>0</v>
      </c>
      <c r="V125" s="710">
        <v>0</v>
      </c>
      <c r="W125" s="710">
        <v>0</v>
      </c>
      <c r="X125" s="710">
        <v>0</v>
      </c>
      <c r="Y125" s="711">
        <v>0</v>
      </c>
      <c r="Z125" s="711">
        <v>0</v>
      </c>
      <c r="AA125" s="711">
        <v>0</v>
      </c>
      <c r="AB125" s="711">
        <v>0</v>
      </c>
      <c r="AC125" s="710">
        <v>0</v>
      </c>
      <c r="AD125" s="710">
        <v>0</v>
      </c>
      <c r="AE125" s="710">
        <v>0</v>
      </c>
      <c r="AF125" s="710">
        <v>0</v>
      </c>
      <c r="AG125" s="710">
        <v>0</v>
      </c>
      <c r="AH125" s="710">
        <v>0</v>
      </c>
      <c r="AI125" s="710">
        <v>0</v>
      </c>
      <c r="AJ125" s="710">
        <v>0</v>
      </c>
      <c r="AK125" s="710">
        <v>0</v>
      </c>
      <c r="AL125" s="710">
        <v>0</v>
      </c>
      <c r="AM125" s="710">
        <v>0</v>
      </c>
      <c r="AN125" s="710">
        <v>0</v>
      </c>
    </row>
    <row r="126" spans="1:40" ht="14">
      <c r="A126" s="652" t="s">
        <v>1336</v>
      </c>
      <c r="B126" s="647">
        <f t="shared" si="23"/>
        <v>0</v>
      </c>
      <c r="C126" s="648">
        <f t="shared" si="24"/>
        <v>0</v>
      </c>
      <c r="D126" s="647">
        <f t="shared" si="25"/>
        <v>0</v>
      </c>
      <c r="E126" s="648">
        <f t="shared" si="26"/>
        <v>0</v>
      </c>
      <c r="F126" s="646"/>
      <c r="G126" s="646"/>
      <c r="H126" s="660">
        <f t="shared" si="27"/>
        <v>0</v>
      </c>
      <c r="I126" s="661">
        <f t="shared" si="28"/>
        <v>0</v>
      </c>
      <c r="J126" s="660">
        <f t="shared" si="29"/>
        <v>0</v>
      </c>
      <c r="K126" s="648">
        <f t="shared" si="30"/>
        <v>0</v>
      </c>
      <c r="L126" s="647">
        <f t="shared" si="31"/>
        <v>0</v>
      </c>
      <c r="M126" s="648">
        <f t="shared" si="32"/>
        <v>0</v>
      </c>
      <c r="N126" s="33"/>
      <c r="O126" s="33"/>
      <c r="P126" s="142" t="s">
        <v>1336</v>
      </c>
      <c r="Q126" s="710">
        <v>24514</v>
      </c>
      <c r="R126" s="710">
        <v>3795</v>
      </c>
      <c r="S126" s="710">
        <v>0</v>
      </c>
      <c r="T126" s="710">
        <v>28309</v>
      </c>
      <c r="U126" s="710">
        <v>268349</v>
      </c>
      <c r="V126" s="710">
        <v>119738</v>
      </c>
      <c r="W126" s="710">
        <v>0</v>
      </c>
      <c r="X126" s="710">
        <v>388087</v>
      </c>
      <c r="Y126" s="711">
        <v>1908848</v>
      </c>
      <c r="Z126" s="711">
        <v>53773</v>
      </c>
      <c r="AA126" s="711">
        <v>0</v>
      </c>
      <c r="AB126" s="711">
        <v>1962621</v>
      </c>
      <c r="AC126" s="710">
        <v>234579</v>
      </c>
      <c r="AD126" s="710">
        <v>0</v>
      </c>
      <c r="AE126" s="710">
        <v>0</v>
      </c>
      <c r="AF126" s="710">
        <v>234579</v>
      </c>
      <c r="AG126" s="710">
        <v>145849</v>
      </c>
      <c r="AH126" s="710">
        <v>0</v>
      </c>
      <c r="AI126" s="710">
        <v>0</v>
      </c>
      <c r="AJ126" s="710">
        <v>145849</v>
      </c>
      <c r="AK126" s="710">
        <v>115511</v>
      </c>
      <c r="AL126" s="710">
        <v>0</v>
      </c>
      <c r="AM126" s="710">
        <v>0</v>
      </c>
      <c r="AN126" s="710">
        <v>115511</v>
      </c>
    </row>
    <row r="127" spans="1:40" ht="14">
      <c r="A127" s="652" t="s">
        <v>1337</v>
      </c>
      <c r="B127" s="647">
        <f t="shared" si="23"/>
        <v>0</v>
      </c>
      <c r="C127" s="648">
        <f t="shared" si="24"/>
        <v>0</v>
      </c>
      <c r="D127" s="647">
        <f t="shared" si="25"/>
        <v>0</v>
      </c>
      <c r="E127" s="648">
        <f t="shared" si="26"/>
        <v>0</v>
      </c>
      <c r="F127" s="646"/>
      <c r="G127" s="646"/>
      <c r="H127" s="660">
        <f t="shared" si="27"/>
        <v>0</v>
      </c>
      <c r="I127" s="661">
        <f t="shared" si="28"/>
        <v>0</v>
      </c>
      <c r="J127" s="660">
        <f t="shared" si="29"/>
        <v>0</v>
      </c>
      <c r="K127" s="648">
        <f t="shared" si="30"/>
        <v>0</v>
      </c>
      <c r="L127" s="647">
        <f t="shared" si="31"/>
        <v>0</v>
      </c>
      <c r="M127" s="648">
        <f t="shared" si="32"/>
        <v>0</v>
      </c>
      <c r="N127" s="33"/>
      <c r="O127" s="33"/>
      <c r="P127" s="142" t="s">
        <v>1337</v>
      </c>
      <c r="Q127" s="710">
        <v>0</v>
      </c>
      <c r="R127" s="710">
        <v>0</v>
      </c>
      <c r="S127" s="710">
        <v>0</v>
      </c>
      <c r="T127" s="710">
        <v>0</v>
      </c>
      <c r="U127" s="710">
        <v>0</v>
      </c>
      <c r="V127" s="710">
        <v>0</v>
      </c>
      <c r="W127" s="710">
        <v>0</v>
      </c>
      <c r="X127" s="710">
        <v>0</v>
      </c>
      <c r="Y127" s="711">
        <v>0</v>
      </c>
      <c r="Z127" s="711">
        <v>0</v>
      </c>
      <c r="AA127" s="711">
        <v>0</v>
      </c>
      <c r="AB127" s="711">
        <v>0</v>
      </c>
      <c r="AC127" s="710">
        <v>0</v>
      </c>
      <c r="AD127" s="710">
        <v>0</v>
      </c>
      <c r="AE127" s="710">
        <v>0</v>
      </c>
      <c r="AF127" s="710">
        <v>0</v>
      </c>
      <c r="AG127" s="710">
        <v>0</v>
      </c>
      <c r="AH127" s="710">
        <v>0</v>
      </c>
      <c r="AI127" s="710">
        <v>0</v>
      </c>
      <c r="AJ127" s="710">
        <v>0</v>
      </c>
      <c r="AK127" s="710">
        <v>0</v>
      </c>
      <c r="AL127" s="710">
        <v>0</v>
      </c>
      <c r="AM127" s="710">
        <v>0</v>
      </c>
      <c r="AN127" s="710">
        <v>0</v>
      </c>
    </row>
    <row r="128" spans="1:40" ht="14">
      <c r="A128" s="650" t="s">
        <v>1338</v>
      </c>
      <c r="B128" s="647">
        <f t="shared" si="23"/>
        <v>0</v>
      </c>
      <c r="C128" s="648">
        <f t="shared" si="24"/>
        <v>0</v>
      </c>
      <c r="D128" s="647">
        <f t="shared" si="25"/>
        <v>0</v>
      </c>
      <c r="E128" s="648">
        <f t="shared" si="26"/>
        <v>0</v>
      </c>
      <c r="F128" s="646"/>
      <c r="G128" s="646"/>
      <c r="H128" s="660">
        <f t="shared" si="27"/>
        <v>0</v>
      </c>
      <c r="I128" s="661">
        <f t="shared" si="28"/>
        <v>0</v>
      </c>
      <c r="J128" s="660">
        <f t="shared" si="29"/>
        <v>0</v>
      </c>
      <c r="K128" s="648">
        <f t="shared" si="30"/>
        <v>0</v>
      </c>
      <c r="L128" s="647">
        <f t="shared" si="31"/>
        <v>0</v>
      </c>
      <c r="M128" s="648">
        <f t="shared" si="32"/>
        <v>0</v>
      </c>
      <c r="N128" s="33"/>
      <c r="O128" s="33"/>
      <c r="P128" s="704" t="s">
        <v>1338</v>
      </c>
      <c r="Q128" s="710">
        <v>0</v>
      </c>
      <c r="R128" s="710">
        <v>0</v>
      </c>
      <c r="S128" s="710">
        <v>0</v>
      </c>
      <c r="T128" s="710">
        <v>0</v>
      </c>
      <c r="U128" s="710">
        <v>0</v>
      </c>
      <c r="V128" s="710">
        <v>0</v>
      </c>
      <c r="W128" s="710">
        <v>0</v>
      </c>
      <c r="X128" s="710">
        <v>0</v>
      </c>
      <c r="Y128" s="711">
        <v>0</v>
      </c>
      <c r="Z128" s="711">
        <v>0</v>
      </c>
      <c r="AA128" s="711">
        <v>0</v>
      </c>
      <c r="AB128" s="711">
        <v>0</v>
      </c>
      <c r="AC128" s="710">
        <v>0</v>
      </c>
      <c r="AD128" s="710">
        <v>0</v>
      </c>
      <c r="AE128" s="710">
        <v>0</v>
      </c>
      <c r="AF128" s="710">
        <v>0</v>
      </c>
      <c r="AG128" s="710">
        <v>0</v>
      </c>
      <c r="AH128" s="710">
        <v>0</v>
      </c>
      <c r="AI128" s="710">
        <v>0</v>
      </c>
      <c r="AJ128" s="710">
        <v>0</v>
      </c>
      <c r="AK128" s="710">
        <v>0</v>
      </c>
      <c r="AL128" s="710">
        <v>0</v>
      </c>
      <c r="AM128" s="710">
        <v>0</v>
      </c>
      <c r="AN128" s="710">
        <v>0</v>
      </c>
    </row>
    <row r="129" spans="1:41" ht="14">
      <c r="A129" s="650" t="s">
        <v>1339</v>
      </c>
      <c r="B129" s="647">
        <f t="shared" si="23"/>
        <v>188844.66805421427</v>
      </c>
      <c r="C129" s="648">
        <f t="shared" si="24"/>
        <v>0</v>
      </c>
      <c r="D129" s="647">
        <f t="shared" si="25"/>
        <v>139908.65276898997</v>
      </c>
      <c r="E129" s="648">
        <f t="shared" si="26"/>
        <v>17011.143594525292</v>
      </c>
      <c r="F129" s="646"/>
      <c r="G129" s="646"/>
      <c r="H129" s="660">
        <f t="shared" si="27"/>
        <v>0</v>
      </c>
      <c r="I129" s="661">
        <f t="shared" si="28"/>
        <v>0</v>
      </c>
      <c r="J129" s="660">
        <f t="shared" si="29"/>
        <v>0</v>
      </c>
      <c r="K129" s="648">
        <f t="shared" si="30"/>
        <v>0</v>
      </c>
      <c r="L129" s="647">
        <f t="shared" si="31"/>
        <v>0</v>
      </c>
      <c r="M129" s="648">
        <f t="shared" si="32"/>
        <v>0</v>
      </c>
      <c r="N129" s="33"/>
      <c r="O129" s="33"/>
      <c r="P129" s="704" t="s">
        <v>1339</v>
      </c>
      <c r="Q129" s="710">
        <v>17107</v>
      </c>
      <c r="R129" s="710">
        <v>0</v>
      </c>
      <c r="S129" s="710">
        <v>0</v>
      </c>
      <c r="T129" s="710">
        <v>17107</v>
      </c>
      <c r="U129" s="710">
        <v>12674</v>
      </c>
      <c r="V129" s="710">
        <v>1541</v>
      </c>
      <c r="W129" s="710">
        <v>0</v>
      </c>
      <c r="X129" s="710">
        <v>14215</v>
      </c>
      <c r="Y129" s="711">
        <v>0</v>
      </c>
      <c r="Z129" s="711">
        <v>0</v>
      </c>
      <c r="AA129" s="711">
        <v>0</v>
      </c>
      <c r="AB129" s="711">
        <v>0</v>
      </c>
      <c r="AC129" s="710">
        <v>0</v>
      </c>
      <c r="AD129" s="710">
        <v>0</v>
      </c>
      <c r="AE129" s="710">
        <v>0</v>
      </c>
      <c r="AF129" s="710">
        <v>0</v>
      </c>
      <c r="AG129" s="710">
        <v>0</v>
      </c>
      <c r="AH129" s="710">
        <v>0</v>
      </c>
      <c r="AI129" s="710">
        <v>0</v>
      </c>
      <c r="AJ129" s="710">
        <v>0</v>
      </c>
      <c r="AK129" s="710">
        <v>0</v>
      </c>
      <c r="AL129" s="710">
        <v>0</v>
      </c>
      <c r="AM129" s="710">
        <v>0</v>
      </c>
      <c r="AN129" s="710">
        <v>0</v>
      </c>
    </row>
    <row r="130" spans="1:41" ht="14">
      <c r="A130" s="650" t="s">
        <v>1340</v>
      </c>
      <c r="B130" s="647">
        <f t="shared" si="23"/>
        <v>0</v>
      </c>
      <c r="C130" s="648">
        <f t="shared" si="24"/>
        <v>0</v>
      </c>
      <c r="D130" s="647">
        <f t="shared" si="25"/>
        <v>0</v>
      </c>
      <c r="E130" s="648">
        <f t="shared" si="26"/>
        <v>0</v>
      </c>
      <c r="F130" s="646"/>
      <c r="G130" s="646"/>
      <c r="H130" s="660">
        <f t="shared" si="27"/>
        <v>0</v>
      </c>
      <c r="I130" s="661">
        <f t="shared" si="28"/>
        <v>0</v>
      </c>
      <c r="J130" s="660">
        <f t="shared" si="29"/>
        <v>0</v>
      </c>
      <c r="K130" s="648">
        <f t="shared" si="30"/>
        <v>0</v>
      </c>
      <c r="L130" s="647">
        <f t="shared" si="31"/>
        <v>0</v>
      </c>
      <c r="M130" s="648">
        <f t="shared" si="32"/>
        <v>0</v>
      </c>
      <c r="N130" s="33"/>
      <c r="O130" s="33"/>
      <c r="P130" s="704" t="s">
        <v>1340</v>
      </c>
      <c r="Q130" s="710">
        <v>0</v>
      </c>
      <c r="R130" s="710">
        <v>0</v>
      </c>
      <c r="S130" s="710">
        <v>0</v>
      </c>
      <c r="T130" s="710">
        <v>0</v>
      </c>
      <c r="U130" s="710">
        <v>0</v>
      </c>
      <c r="V130" s="710">
        <v>0</v>
      </c>
      <c r="W130" s="710">
        <v>0</v>
      </c>
      <c r="X130" s="710">
        <v>0</v>
      </c>
      <c r="Y130" s="711">
        <v>16101</v>
      </c>
      <c r="Z130" s="711">
        <v>0</v>
      </c>
      <c r="AA130" s="711">
        <v>0</v>
      </c>
      <c r="AB130" s="711">
        <v>16101</v>
      </c>
      <c r="AC130" s="710">
        <v>0</v>
      </c>
      <c r="AD130" s="710">
        <v>0</v>
      </c>
      <c r="AE130" s="710">
        <v>0</v>
      </c>
      <c r="AF130" s="710">
        <v>0</v>
      </c>
      <c r="AG130" s="710">
        <v>0</v>
      </c>
      <c r="AH130" s="710">
        <v>0</v>
      </c>
      <c r="AI130" s="710">
        <v>0</v>
      </c>
      <c r="AJ130" s="710">
        <v>0</v>
      </c>
      <c r="AK130" s="710">
        <v>0</v>
      </c>
      <c r="AL130" s="710">
        <v>0</v>
      </c>
      <c r="AM130" s="710">
        <v>0</v>
      </c>
      <c r="AN130" s="710">
        <v>0</v>
      </c>
    </row>
    <row r="131" spans="1:41" ht="14">
      <c r="A131" s="650" t="s">
        <v>1341</v>
      </c>
      <c r="B131" s="647">
        <f t="shared" si="23"/>
        <v>0</v>
      </c>
      <c r="C131" s="648">
        <f t="shared" si="24"/>
        <v>0</v>
      </c>
      <c r="D131" s="647">
        <f t="shared" si="25"/>
        <v>0</v>
      </c>
      <c r="E131" s="648">
        <f t="shared" si="26"/>
        <v>0</v>
      </c>
      <c r="F131" s="646"/>
      <c r="G131" s="646"/>
      <c r="H131" s="660">
        <f t="shared" si="27"/>
        <v>0</v>
      </c>
      <c r="I131" s="661">
        <f t="shared" si="28"/>
        <v>0</v>
      </c>
      <c r="J131" s="660">
        <f t="shared" si="29"/>
        <v>0</v>
      </c>
      <c r="K131" s="648">
        <f t="shared" si="30"/>
        <v>0</v>
      </c>
      <c r="L131" s="647">
        <f t="shared" si="31"/>
        <v>0</v>
      </c>
      <c r="M131" s="648">
        <f t="shared" si="32"/>
        <v>0</v>
      </c>
      <c r="N131" s="33"/>
      <c r="O131" s="33"/>
      <c r="P131" s="704" t="s">
        <v>1341</v>
      </c>
      <c r="Q131" s="710">
        <v>0</v>
      </c>
      <c r="R131" s="710">
        <v>0</v>
      </c>
      <c r="S131" s="710">
        <v>0</v>
      </c>
      <c r="T131" s="710">
        <v>0</v>
      </c>
      <c r="U131" s="710">
        <v>0</v>
      </c>
      <c r="V131" s="710">
        <v>0</v>
      </c>
      <c r="W131" s="710">
        <v>0</v>
      </c>
      <c r="X131" s="710">
        <v>0</v>
      </c>
      <c r="Y131" s="711">
        <v>0</v>
      </c>
      <c r="Z131" s="711">
        <v>0</v>
      </c>
      <c r="AA131" s="711">
        <v>0</v>
      </c>
      <c r="AB131" s="711">
        <v>0</v>
      </c>
      <c r="AC131" s="710">
        <v>0</v>
      </c>
      <c r="AD131" s="710">
        <v>0</v>
      </c>
      <c r="AE131" s="710">
        <v>0</v>
      </c>
      <c r="AF131" s="710">
        <v>0</v>
      </c>
      <c r="AG131" s="710">
        <v>0</v>
      </c>
      <c r="AH131" s="710">
        <v>0</v>
      </c>
      <c r="AI131" s="710">
        <v>0</v>
      </c>
      <c r="AJ131" s="710">
        <v>0</v>
      </c>
      <c r="AK131" s="710">
        <v>0</v>
      </c>
      <c r="AL131" s="710">
        <v>0</v>
      </c>
      <c r="AM131" s="710">
        <v>0</v>
      </c>
      <c r="AN131" s="710">
        <v>0</v>
      </c>
    </row>
    <row r="132" spans="1:41" ht="14">
      <c r="A132" s="650" t="s">
        <v>1342</v>
      </c>
      <c r="B132" s="647">
        <f t="shared" si="23"/>
        <v>0</v>
      </c>
      <c r="C132" s="648">
        <f t="shared" si="24"/>
        <v>0</v>
      </c>
      <c r="D132" s="647">
        <f t="shared" si="25"/>
        <v>0</v>
      </c>
      <c r="E132" s="648">
        <f t="shared" si="26"/>
        <v>0</v>
      </c>
      <c r="F132" s="646"/>
      <c r="G132" s="646"/>
      <c r="H132" s="660">
        <f t="shared" si="27"/>
        <v>0</v>
      </c>
      <c r="I132" s="661">
        <f t="shared" si="28"/>
        <v>0</v>
      </c>
      <c r="J132" s="660">
        <f t="shared" si="29"/>
        <v>0</v>
      </c>
      <c r="K132" s="648">
        <f t="shared" si="30"/>
        <v>0</v>
      </c>
      <c r="L132" s="647">
        <f t="shared" si="31"/>
        <v>0</v>
      </c>
      <c r="M132" s="648">
        <f t="shared" si="32"/>
        <v>0</v>
      </c>
      <c r="N132" s="33"/>
      <c r="O132" s="33"/>
      <c r="P132" s="704" t="s">
        <v>1342</v>
      </c>
      <c r="Q132" s="710">
        <v>0</v>
      </c>
      <c r="R132" s="710">
        <v>0</v>
      </c>
      <c r="S132" s="710">
        <v>0</v>
      </c>
      <c r="T132" s="710">
        <v>0</v>
      </c>
      <c r="U132" s="710">
        <v>0</v>
      </c>
      <c r="V132" s="710">
        <v>0</v>
      </c>
      <c r="W132" s="710">
        <v>0</v>
      </c>
      <c r="X132" s="710">
        <v>0</v>
      </c>
      <c r="Y132" s="711">
        <v>0</v>
      </c>
      <c r="Z132" s="711">
        <v>0</v>
      </c>
      <c r="AA132" s="711">
        <v>0</v>
      </c>
      <c r="AB132" s="711">
        <v>0</v>
      </c>
      <c r="AC132" s="710">
        <v>0</v>
      </c>
      <c r="AD132" s="710">
        <v>0</v>
      </c>
      <c r="AE132" s="710">
        <v>0</v>
      </c>
      <c r="AF132" s="710">
        <v>0</v>
      </c>
      <c r="AG132" s="710">
        <v>0</v>
      </c>
      <c r="AH132" s="710">
        <v>0</v>
      </c>
      <c r="AI132" s="710">
        <v>0</v>
      </c>
      <c r="AJ132" s="710">
        <v>0</v>
      </c>
      <c r="AK132" s="710">
        <v>0</v>
      </c>
      <c r="AL132" s="710">
        <v>0</v>
      </c>
      <c r="AM132" s="710">
        <v>0</v>
      </c>
      <c r="AN132" s="710">
        <v>0</v>
      </c>
    </row>
    <row r="133" spans="1:41" ht="14">
      <c r="A133" s="650" t="s">
        <v>1343</v>
      </c>
      <c r="B133" s="647">
        <f t="shared" si="23"/>
        <v>0</v>
      </c>
      <c r="C133" s="648">
        <f t="shared" si="24"/>
        <v>0</v>
      </c>
      <c r="D133" s="647">
        <f t="shared" si="25"/>
        <v>0</v>
      </c>
      <c r="E133" s="648">
        <f t="shared" si="26"/>
        <v>0</v>
      </c>
      <c r="F133" s="646"/>
      <c r="G133" s="646"/>
      <c r="H133" s="660">
        <f t="shared" si="27"/>
        <v>0</v>
      </c>
      <c r="I133" s="661">
        <f t="shared" si="28"/>
        <v>0</v>
      </c>
      <c r="J133" s="660">
        <f t="shared" si="29"/>
        <v>0</v>
      </c>
      <c r="K133" s="648">
        <f t="shared" si="30"/>
        <v>0</v>
      </c>
      <c r="L133" s="647">
        <f t="shared" si="31"/>
        <v>0</v>
      </c>
      <c r="M133" s="648">
        <f t="shared" si="32"/>
        <v>0</v>
      </c>
      <c r="N133" s="33"/>
      <c r="O133" s="33"/>
      <c r="P133" s="704" t="s">
        <v>1343</v>
      </c>
      <c r="Q133" s="710">
        <v>0</v>
      </c>
      <c r="R133" s="710">
        <v>0</v>
      </c>
      <c r="S133" s="710">
        <v>0</v>
      </c>
      <c r="T133" s="710">
        <v>0</v>
      </c>
      <c r="U133" s="710">
        <v>0</v>
      </c>
      <c r="V133" s="710">
        <v>0</v>
      </c>
      <c r="W133" s="710">
        <v>0</v>
      </c>
      <c r="X133" s="710">
        <v>0</v>
      </c>
      <c r="Y133" s="711">
        <v>0</v>
      </c>
      <c r="Z133" s="711">
        <v>8331</v>
      </c>
      <c r="AA133" s="711">
        <v>0</v>
      </c>
      <c r="AB133" s="711">
        <v>8331</v>
      </c>
      <c r="AC133" s="710">
        <v>0</v>
      </c>
      <c r="AD133" s="710">
        <v>0</v>
      </c>
      <c r="AE133" s="710">
        <v>0</v>
      </c>
      <c r="AF133" s="710">
        <v>0</v>
      </c>
      <c r="AG133" s="710">
        <v>0</v>
      </c>
      <c r="AH133" s="710">
        <v>0</v>
      </c>
      <c r="AI133" s="710">
        <v>0</v>
      </c>
      <c r="AJ133" s="710">
        <v>0</v>
      </c>
      <c r="AK133" s="710">
        <v>0</v>
      </c>
      <c r="AL133" s="710">
        <v>0</v>
      </c>
      <c r="AM133" s="710">
        <v>0</v>
      </c>
      <c r="AN133" s="710">
        <v>0</v>
      </c>
    </row>
    <row r="134" spans="1:41" ht="14">
      <c r="A134" s="188" t="s">
        <v>1344</v>
      </c>
      <c r="B134" s="647">
        <f t="shared" si="23"/>
        <v>0</v>
      </c>
      <c r="C134" s="648">
        <f t="shared" si="24"/>
        <v>0</v>
      </c>
      <c r="D134" s="647">
        <f t="shared" si="25"/>
        <v>0</v>
      </c>
      <c r="E134" s="648">
        <f t="shared" si="26"/>
        <v>0</v>
      </c>
      <c r="F134" s="646"/>
      <c r="G134" s="646"/>
      <c r="H134" s="660">
        <f t="shared" si="27"/>
        <v>0</v>
      </c>
      <c r="I134" s="661">
        <f t="shared" si="28"/>
        <v>0</v>
      </c>
      <c r="J134" s="660">
        <f t="shared" si="29"/>
        <v>0</v>
      </c>
      <c r="K134" s="648">
        <f t="shared" si="30"/>
        <v>0</v>
      </c>
      <c r="L134" s="647">
        <f t="shared" si="31"/>
        <v>0</v>
      </c>
      <c r="M134" s="648">
        <f t="shared" si="32"/>
        <v>0</v>
      </c>
      <c r="N134" s="33"/>
      <c r="O134" s="33"/>
      <c r="P134" s="188" t="s">
        <v>1344</v>
      </c>
      <c r="Q134" s="710">
        <v>15242</v>
      </c>
      <c r="R134" s="710">
        <v>484</v>
      </c>
      <c r="S134" s="710">
        <v>0</v>
      </c>
      <c r="T134" s="710">
        <v>15726</v>
      </c>
      <c r="U134" s="710">
        <v>560</v>
      </c>
      <c r="V134" s="710">
        <v>28921</v>
      </c>
      <c r="W134" s="710">
        <v>0</v>
      </c>
      <c r="X134" s="710">
        <v>29481</v>
      </c>
      <c r="Y134" s="711">
        <v>0</v>
      </c>
      <c r="Z134" s="711">
        <v>32</v>
      </c>
      <c r="AA134" s="711">
        <v>0</v>
      </c>
      <c r="AB134" s="711">
        <v>32</v>
      </c>
      <c r="AC134" s="710">
        <v>0</v>
      </c>
      <c r="AD134" s="710">
        <v>0</v>
      </c>
      <c r="AE134" s="710">
        <v>0</v>
      </c>
      <c r="AF134" s="710">
        <v>0</v>
      </c>
      <c r="AG134" s="710">
        <v>0</v>
      </c>
      <c r="AH134" s="710">
        <v>0</v>
      </c>
      <c r="AI134" s="710">
        <v>0</v>
      </c>
      <c r="AJ134" s="710">
        <v>0</v>
      </c>
      <c r="AK134" s="710">
        <v>0</v>
      </c>
      <c r="AL134" s="710">
        <v>0</v>
      </c>
      <c r="AM134" s="710">
        <v>0</v>
      </c>
      <c r="AN134" s="710">
        <v>0</v>
      </c>
    </row>
    <row r="135" spans="1:41" ht="14">
      <c r="A135" s="650" t="s">
        <v>1345</v>
      </c>
      <c r="B135" s="647">
        <f t="shared" si="23"/>
        <v>0</v>
      </c>
      <c r="C135" s="648">
        <f t="shared" si="24"/>
        <v>0</v>
      </c>
      <c r="D135" s="647">
        <f t="shared" si="25"/>
        <v>0</v>
      </c>
      <c r="E135" s="648">
        <f t="shared" si="26"/>
        <v>0</v>
      </c>
      <c r="F135" s="646"/>
      <c r="G135" s="646"/>
      <c r="H135" s="660">
        <f t="shared" si="27"/>
        <v>0</v>
      </c>
      <c r="I135" s="661">
        <f t="shared" si="28"/>
        <v>0</v>
      </c>
      <c r="J135" s="660">
        <f t="shared" si="29"/>
        <v>0</v>
      </c>
      <c r="K135" s="648">
        <f t="shared" si="30"/>
        <v>0</v>
      </c>
      <c r="L135" s="647">
        <f t="shared" si="31"/>
        <v>0</v>
      </c>
      <c r="M135" s="648">
        <f t="shared" si="32"/>
        <v>0</v>
      </c>
      <c r="N135" s="33"/>
      <c r="O135" s="33"/>
      <c r="P135" s="704" t="s">
        <v>1345</v>
      </c>
      <c r="Q135" s="710">
        <v>0</v>
      </c>
      <c r="R135" s="710">
        <v>0</v>
      </c>
      <c r="S135" s="710">
        <v>0</v>
      </c>
      <c r="T135" s="710">
        <v>0</v>
      </c>
      <c r="U135" s="710">
        <v>0</v>
      </c>
      <c r="V135" s="710">
        <v>0</v>
      </c>
      <c r="W135" s="710">
        <v>0</v>
      </c>
      <c r="X135" s="710">
        <v>0</v>
      </c>
      <c r="Y135" s="711">
        <v>105983</v>
      </c>
      <c r="Z135" s="711">
        <v>109772</v>
      </c>
      <c r="AA135" s="711">
        <v>0</v>
      </c>
      <c r="AB135" s="711">
        <v>215755</v>
      </c>
      <c r="AC135" s="710">
        <v>0</v>
      </c>
      <c r="AD135" s="710">
        <v>0</v>
      </c>
      <c r="AE135" s="710">
        <v>0</v>
      </c>
      <c r="AF135" s="710">
        <v>0</v>
      </c>
      <c r="AG135" s="710">
        <v>0</v>
      </c>
      <c r="AH135" s="710">
        <v>0</v>
      </c>
      <c r="AI135" s="710">
        <v>0</v>
      </c>
      <c r="AJ135" s="710">
        <v>0</v>
      </c>
      <c r="AK135" s="710">
        <v>0</v>
      </c>
      <c r="AL135" s="710">
        <v>0</v>
      </c>
      <c r="AM135" s="710">
        <v>0</v>
      </c>
      <c r="AN135" s="710">
        <v>0</v>
      </c>
    </row>
    <row r="136" spans="1:41" ht="14">
      <c r="A136" s="650" t="s">
        <v>1346</v>
      </c>
      <c r="B136" s="647">
        <f t="shared" si="23"/>
        <v>0</v>
      </c>
      <c r="C136" s="648">
        <f t="shared" si="24"/>
        <v>0</v>
      </c>
      <c r="D136" s="647">
        <f t="shared" si="25"/>
        <v>0</v>
      </c>
      <c r="E136" s="648">
        <f t="shared" si="26"/>
        <v>0</v>
      </c>
      <c r="F136" s="646"/>
      <c r="G136" s="646"/>
      <c r="H136" s="660">
        <f t="shared" si="27"/>
        <v>0</v>
      </c>
      <c r="I136" s="661">
        <f t="shared" si="28"/>
        <v>0</v>
      </c>
      <c r="J136" s="660">
        <f t="shared" si="29"/>
        <v>0</v>
      </c>
      <c r="K136" s="648">
        <f t="shared" si="30"/>
        <v>0</v>
      </c>
      <c r="L136" s="647">
        <f t="shared" si="31"/>
        <v>0</v>
      </c>
      <c r="M136" s="648">
        <f t="shared" si="32"/>
        <v>0</v>
      </c>
      <c r="N136" s="33"/>
      <c r="O136" s="33"/>
      <c r="P136" s="704" t="s">
        <v>1346</v>
      </c>
      <c r="Q136" s="710">
        <v>398209</v>
      </c>
      <c r="R136" s="710">
        <v>0</v>
      </c>
      <c r="S136" s="710">
        <v>20745</v>
      </c>
      <c r="T136" s="710">
        <v>418954</v>
      </c>
      <c r="U136" s="710">
        <v>1659399</v>
      </c>
      <c r="V136" s="710">
        <v>6694</v>
      </c>
      <c r="W136" s="710">
        <v>51267</v>
      </c>
      <c r="X136" s="710">
        <v>1717360</v>
      </c>
      <c r="Y136" s="711">
        <v>1280</v>
      </c>
      <c r="Z136" s="711">
        <v>0</v>
      </c>
      <c r="AA136" s="711">
        <v>0</v>
      </c>
      <c r="AB136" s="711">
        <v>1280</v>
      </c>
      <c r="AC136" s="710">
        <v>230406</v>
      </c>
      <c r="AD136" s="710">
        <v>0</v>
      </c>
      <c r="AE136" s="710">
        <v>0</v>
      </c>
      <c r="AF136" s="710">
        <v>230406</v>
      </c>
      <c r="AG136" s="710">
        <v>33458</v>
      </c>
      <c r="AH136" s="710">
        <v>0</v>
      </c>
      <c r="AI136" s="710">
        <v>0</v>
      </c>
      <c r="AJ136" s="710">
        <v>33458</v>
      </c>
      <c r="AK136" s="710">
        <v>0</v>
      </c>
      <c r="AL136" s="710">
        <v>0</v>
      </c>
      <c r="AM136" s="710">
        <v>0</v>
      </c>
      <c r="AN136" s="710">
        <v>0</v>
      </c>
    </row>
    <row r="137" spans="1:41" ht="14">
      <c r="A137" s="662" t="s">
        <v>1347</v>
      </c>
      <c r="B137" s="647">
        <f t="shared" si="23"/>
        <v>6386469.1610691184</v>
      </c>
      <c r="C137" s="648">
        <f t="shared" si="24"/>
        <v>75696.121681143442</v>
      </c>
      <c r="D137" s="647">
        <f t="shared" si="25"/>
        <v>0</v>
      </c>
      <c r="E137" s="648">
        <f t="shared" si="26"/>
        <v>0</v>
      </c>
      <c r="F137" s="646"/>
      <c r="G137" s="646"/>
      <c r="H137" s="660">
        <f t="shared" si="27"/>
        <v>0</v>
      </c>
      <c r="I137" s="661">
        <f t="shared" si="28"/>
        <v>0</v>
      </c>
      <c r="J137" s="660">
        <f t="shared" si="29"/>
        <v>0</v>
      </c>
      <c r="K137" s="648">
        <f t="shared" si="30"/>
        <v>0</v>
      </c>
      <c r="L137" s="647">
        <f t="shared" si="31"/>
        <v>0</v>
      </c>
      <c r="M137" s="648">
        <f t="shared" si="32"/>
        <v>0</v>
      </c>
      <c r="N137" s="33"/>
      <c r="O137" s="33"/>
      <c r="P137" s="704" t="s">
        <v>1347</v>
      </c>
      <c r="Q137" s="710">
        <v>398335</v>
      </c>
      <c r="R137" s="710">
        <v>5516</v>
      </c>
      <c r="S137" s="710">
        <v>67049</v>
      </c>
      <c r="T137" s="710">
        <v>470900</v>
      </c>
      <c r="U137" s="710">
        <v>0</v>
      </c>
      <c r="V137" s="710">
        <v>0</v>
      </c>
      <c r="W137" s="710">
        <v>0</v>
      </c>
      <c r="X137" s="710">
        <v>0</v>
      </c>
      <c r="Y137" s="711">
        <v>0</v>
      </c>
      <c r="Z137" s="711">
        <v>37311</v>
      </c>
      <c r="AA137" s="711">
        <v>0</v>
      </c>
      <c r="AB137" s="711">
        <v>37311</v>
      </c>
      <c r="AC137" s="710">
        <v>0</v>
      </c>
      <c r="AD137" s="710">
        <v>0</v>
      </c>
      <c r="AE137" s="710">
        <v>0</v>
      </c>
      <c r="AF137" s="710">
        <v>0</v>
      </c>
      <c r="AG137" s="710">
        <v>0</v>
      </c>
      <c r="AH137" s="710">
        <v>0</v>
      </c>
      <c r="AI137" s="710">
        <v>0</v>
      </c>
      <c r="AJ137" s="710">
        <v>0</v>
      </c>
      <c r="AK137" s="710">
        <v>0</v>
      </c>
      <c r="AL137" s="710">
        <v>0</v>
      </c>
      <c r="AM137" s="710">
        <v>0</v>
      </c>
      <c r="AN137" s="710">
        <v>0</v>
      </c>
    </row>
    <row r="138" spans="1:41" ht="14">
      <c r="A138" s="655"/>
      <c r="B138" s="663"/>
      <c r="C138" s="663"/>
      <c r="D138" s="663"/>
      <c r="E138" s="663"/>
      <c r="F138" s="664"/>
      <c r="G138" s="664"/>
      <c r="H138" s="663"/>
      <c r="I138" s="663"/>
      <c r="J138" s="663"/>
      <c r="K138" s="663"/>
      <c r="L138" s="663"/>
      <c r="M138" s="656"/>
      <c r="N138" s="33"/>
      <c r="O138" s="33"/>
      <c r="P138" s="705" t="s">
        <v>196</v>
      </c>
      <c r="Q138" s="706">
        <v>853407</v>
      </c>
      <c r="R138" s="706">
        <v>9795</v>
      </c>
      <c r="S138" s="706">
        <v>87794</v>
      </c>
      <c r="T138" s="706">
        <v>950996</v>
      </c>
      <c r="U138" s="706">
        <v>1945532</v>
      </c>
      <c r="V138" s="706">
        <v>158421</v>
      </c>
      <c r="W138" s="706">
        <v>51267</v>
      </c>
      <c r="X138" s="706">
        <v>2155220</v>
      </c>
      <c r="Y138" s="706">
        <v>2091883</v>
      </c>
      <c r="Z138" s="706">
        <v>989369</v>
      </c>
      <c r="AA138" s="706">
        <v>0</v>
      </c>
      <c r="AB138" s="706">
        <v>3081252</v>
      </c>
      <c r="AC138" s="706">
        <v>464985</v>
      </c>
      <c r="AD138" s="706">
        <v>322</v>
      </c>
      <c r="AE138" s="706">
        <v>0</v>
      </c>
      <c r="AF138" s="706">
        <v>465307</v>
      </c>
      <c r="AG138" s="706">
        <v>316386</v>
      </c>
      <c r="AH138" s="706">
        <v>6</v>
      </c>
      <c r="AI138" s="706">
        <v>0</v>
      </c>
      <c r="AJ138" s="706">
        <v>316392</v>
      </c>
      <c r="AK138" s="706">
        <v>115511</v>
      </c>
      <c r="AL138" s="706">
        <v>0</v>
      </c>
      <c r="AM138" s="706">
        <v>0</v>
      </c>
      <c r="AN138" s="706">
        <v>115511</v>
      </c>
      <c r="AO138" s="140">
        <f>T138+X138+AB138+AF138+AJ138+AN138</f>
        <v>7084678</v>
      </c>
    </row>
    <row r="139" spans="1:41" ht="14">
      <c r="A139" s="665"/>
      <c r="B139" s="666"/>
      <c r="C139" s="666"/>
      <c r="D139" s="666"/>
      <c r="E139" s="666"/>
      <c r="I139" s="666"/>
      <c r="J139" s="666"/>
      <c r="K139" s="666"/>
      <c r="L139" s="666"/>
      <c r="M139" s="666"/>
      <c r="N139" s="666"/>
      <c r="O139" s="33"/>
      <c r="Q139" s="712"/>
      <c r="R139" s="712"/>
      <c r="S139" s="712"/>
      <c r="T139" s="712"/>
      <c r="U139" s="712"/>
      <c r="V139" s="712"/>
      <c r="W139" s="712"/>
      <c r="X139" s="712"/>
      <c r="Y139" s="712"/>
      <c r="Z139" s="713"/>
      <c r="AA139" s="712"/>
      <c r="AB139" s="712"/>
      <c r="AC139" s="712"/>
      <c r="AD139" s="712"/>
      <c r="AE139" s="712"/>
      <c r="AF139" s="712"/>
      <c r="AG139" s="712"/>
      <c r="AH139" s="712"/>
      <c r="AI139" s="712"/>
      <c r="AJ139" s="712"/>
      <c r="AK139" s="712"/>
      <c r="AL139" s="712"/>
      <c r="AM139" s="712"/>
      <c r="AN139" s="712"/>
    </row>
    <row r="140" spans="1:41" ht="14.5" thickBot="1">
      <c r="A140" s="658"/>
      <c r="B140" s="658"/>
      <c r="C140" s="61"/>
      <c r="D140" s="61"/>
      <c r="E140" s="61"/>
      <c r="I140" s="61"/>
      <c r="J140" s="61"/>
      <c r="K140" s="33"/>
      <c r="O140" s="33"/>
      <c r="P140" s="33"/>
      <c r="Q140" s="33"/>
      <c r="R140" s="33"/>
    </row>
    <row r="141" spans="1:41" ht="13" thickBot="1">
      <c r="A141" s="883" t="s">
        <v>1406</v>
      </c>
      <c r="B141" s="884"/>
      <c r="C141" s="884"/>
      <c r="D141" s="884"/>
      <c r="E141" s="884"/>
      <c r="F141" s="884"/>
      <c r="G141" s="884"/>
      <c r="H141" s="884"/>
      <c r="I141" s="884"/>
      <c r="J141" s="884"/>
      <c r="K141" s="884"/>
      <c r="L141" s="884"/>
      <c r="M141" s="885"/>
      <c r="N141" s="139"/>
      <c r="O141" s="33"/>
      <c r="P141" s="872" t="s">
        <v>1407</v>
      </c>
      <c r="Q141" s="878" t="s">
        <v>1406</v>
      </c>
      <c r="R141" s="879"/>
      <c r="S141" s="879"/>
      <c r="T141" s="879"/>
      <c r="U141" s="879"/>
      <c r="V141" s="879"/>
      <c r="W141" s="879"/>
      <c r="X141" s="879"/>
      <c r="Y141" s="879"/>
      <c r="Z141" s="879"/>
      <c r="AA141" s="879"/>
      <c r="AB141" s="879"/>
      <c r="AC141" s="879"/>
      <c r="AD141" s="879"/>
      <c r="AE141" s="880"/>
      <c r="AF141" s="880"/>
      <c r="AG141" s="880"/>
      <c r="AH141" s="881"/>
    </row>
    <row r="142" spans="1:41" ht="57.75" customHeight="1" thickBot="1">
      <c r="A142" s="906" t="s">
        <v>1361</v>
      </c>
      <c r="B142" s="876" t="s">
        <v>1359</v>
      </c>
      <c r="C142" s="874" t="s">
        <v>1360</v>
      </c>
      <c r="D142" s="876" t="s">
        <v>1408</v>
      </c>
      <c r="E142" s="874" t="s">
        <v>1409</v>
      </c>
      <c r="F142" s="876" t="s">
        <v>1410</v>
      </c>
      <c r="G142" s="874" t="s">
        <v>1411</v>
      </c>
      <c r="H142" s="876" t="s">
        <v>1412</v>
      </c>
      <c r="I142" s="874" t="s">
        <v>1413</v>
      </c>
      <c r="J142" s="876" t="s">
        <v>1414</v>
      </c>
      <c r="K142" s="874" t="s">
        <v>1415</v>
      </c>
      <c r="L142" s="876" t="s">
        <v>1416</v>
      </c>
      <c r="M142" s="874" t="s">
        <v>1417</v>
      </c>
      <c r="N142" s="33"/>
      <c r="O142" s="33"/>
      <c r="P142" s="905" t="s">
        <v>1365</v>
      </c>
      <c r="Q142" s="878" t="s">
        <v>232</v>
      </c>
      <c r="R142" s="879"/>
      <c r="S142" s="882"/>
      <c r="T142" s="878" t="s">
        <v>212</v>
      </c>
      <c r="U142" s="879"/>
      <c r="V142" s="882"/>
      <c r="W142" s="878" t="s">
        <v>228</v>
      </c>
      <c r="X142" s="879"/>
      <c r="Y142" s="882"/>
      <c r="Z142" s="889" t="s">
        <v>229</v>
      </c>
      <c r="AA142" s="890"/>
      <c r="AB142" s="891"/>
      <c r="AC142" s="878" t="s">
        <v>231</v>
      </c>
      <c r="AD142" s="879"/>
      <c r="AE142" s="882"/>
      <c r="AF142" s="879" t="s">
        <v>230</v>
      </c>
      <c r="AG142" s="879"/>
      <c r="AH142" s="882"/>
    </row>
    <row r="143" spans="1:41" ht="13" thickBot="1">
      <c r="A143" s="907"/>
      <c r="B143" s="877"/>
      <c r="C143" s="875"/>
      <c r="D143" s="877"/>
      <c r="E143" s="875"/>
      <c r="F143" s="877" t="s">
        <v>1362</v>
      </c>
      <c r="G143" s="875" t="s">
        <v>1362</v>
      </c>
      <c r="H143" s="877" t="s">
        <v>1362</v>
      </c>
      <c r="I143" s="875" t="s">
        <v>1362</v>
      </c>
      <c r="J143" s="877" t="s">
        <v>1362</v>
      </c>
      <c r="K143" s="875" t="s">
        <v>1362</v>
      </c>
      <c r="L143" s="877" t="s">
        <v>1362</v>
      </c>
      <c r="M143" s="875" t="s">
        <v>1362</v>
      </c>
      <c r="N143" s="33"/>
      <c r="O143" s="33"/>
      <c r="P143" s="873">
        <v>8189294</v>
      </c>
      <c r="Q143" s="217" t="s">
        <v>1362</v>
      </c>
      <c r="R143" s="64" t="s">
        <v>1363</v>
      </c>
      <c r="S143" s="64" t="s">
        <v>1364</v>
      </c>
      <c r="T143" s="217" t="s">
        <v>1362</v>
      </c>
      <c r="U143" s="64" t="s">
        <v>1363</v>
      </c>
      <c r="V143" s="64" t="s">
        <v>1364</v>
      </c>
      <c r="W143" s="217" t="s">
        <v>1362</v>
      </c>
      <c r="X143" s="64" t="s">
        <v>1363</v>
      </c>
      <c r="Y143" s="64" t="s">
        <v>1364</v>
      </c>
      <c r="Z143" s="699" t="s">
        <v>1362</v>
      </c>
      <c r="AA143" s="700" t="s">
        <v>1363</v>
      </c>
      <c r="AB143" s="700" t="s">
        <v>1364</v>
      </c>
      <c r="AC143" s="217" t="s">
        <v>1362</v>
      </c>
      <c r="AD143" s="64" t="s">
        <v>1363</v>
      </c>
      <c r="AE143" s="64" t="s">
        <v>1364</v>
      </c>
      <c r="AF143" s="657" t="s">
        <v>1362</v>
      </c>
      <c r="AG143" s="64" t="s">
        <v>1363</v>
      </c>
      <c r="AH143" s="64" t="s">
        <v>1364</v>
      </c>
    </row>
    <row r="144" spans="1:41" ht="14">
      <c r="A144" s="187" t="s">
        <v>2423</v>
      </c>
      <c r="B144" s="668">
        <f t="shared" ref="B144:B162" si="33">Q144*$E36</f>
        <v>0</v>
      </c>
      <c r="C144" s="669">
        <f t="shared" ref="C144:C162" si="34">R144*$E36</f>
        <v>0</v>
      </c>
      <c r="D144" s="668">
        <f t="shared" ref="D144:D162" si="35">T144*$E36</f>
        <v>0</v>
      </c>
      <c r="E144" s="669">
        <f t="shared" ref="E144:E162" si="36">U144*$E36</f>
        <v>0</v>
      </c>
      <c r="F144" s="668">
        <f t="shared" ref="F144:F162" si="37">W144*$E36</f>
        <v>0</v>
      </c>
      <c r="G144" s="669">
        <f t="shared" ref="G144:G162" si="38">X144*$E36</f>
        <v>0</v>
      </c>
      <c r="H144" s="670"/>
      <c r="I144" s="670"/>
      <c r="J144" s="668">
        <f t="shared" ref="J144:J162" si="39">AC144*$E36</f>
        <v>0</v>
      </c>
      <c r="K144" s="669">
        <f t="shared" ref="K144:K162" si="40">AD144*$E36</f>
        <v>0</v>
      </c>
      <c r="L144" s="668">
        <f t="shared" ref="L144:L162" si="41">AF144*$E36</f>
        <v>0</v>
      </c>
      <c r="M144" s="648">
        <f t="shared" ref="M144:M162" si="42">AG144*$E36</f>
        <v>0</v>
      </c>
      <c r="N144" s="33"/>
      <c r="O144" s="33"/>
      <c r="P144" s="188" t="s">
        <v>2423</v>
      </c>
      <c r="Q144" s="703">
        <v>0</v>
      </c>
      <c r="R144" s="703">
        <v>0</v>
      </c>
      <c r="S144" s="703">
        <v>0</v>
      </c>
      <c r="T144" s="703">
        <v>0</v>
      </c>
      <c r="U144" s="703">
        <v>0</v>
      </c>
      <c r="V144" s="703">
        <v>0</v>
      </c>
      <c r="W144" s="703">
        <v>0</v>
      </c>
      <c r="X144" s="703">
        <v>0</v>
      </c>
      <c r="Y144" s="703">
        <v>0</v>
      </c>
      <c r="Z144" s="702">
        <v>0</v>
      </c>
      <c r="AA144" s="702">
        <v>0</v>
      </c>
      <c r="AB144" s="702">
        <v>0</v>
      </c>
      <c r="AC144" s="703">
        <v>0</v>
      </c>
      <c r="AD144" s="703">
        <v>0</v>
      </c>
      <c r="AE144" s="703">
        <v>0</v>
      </c>
      <c r="AF144" s="703">
        <v>0</v>
      </c>
      <c r="AG144" s="703">
        <v>0</v>
      </c>
      <c r="AH144" s="703">
        <v>0</v>
      </c>
    </row>
    <row r="145" spans="1:34" ht="14">
      <c r="A145" s="650" t="s">
        <v>1330</v>
      </c>
      <c r="B145" s="668">
        <f t="shared" si="33"/>
        <v>4653551.1435032533</v>
      </c>
      <c r="C145" s="669">
        <f t="shared" si="34"/>
        <v>0</v>
      </c>
      <c r="D145" s="668">
        <f t="shared" si="35"/>
        <v>0</v>
      </c>
      <c r="E145" s="669">
        <f t="shared" si="36"/>
        <v>0</v>
      </c>
      <c r="F145" s="668">
        <f t="shared" si="37"/>
        <v>2126.1019230959814</v>
      </c>
      <c r="G145" s="669">
        <f t="shared" si="38"/>
        <v>0</v>
      </c>
      <c r="H145" s="670"/>
      <c r="I145" s="670"/>
      <c r="J145" s="668">
        <f t="shared" si="39"/>
        <v>150786.18567442859</v>
      </c>
      <c r="K145" s="669">
        <f t="shared" si="40"/>
        <v>0</v>
      </c>
      <c r="L145" s="668">
        <f t="shared" si="41"/>
        <v>0</v>
      </c>
      <c r="M145" s="648">
        <f t="shared" si="42"/>
        <v>0</v>
      </c>
      <c r="N145" s="33"/>
      <c r="O145" s="33"/>
      <c r="P145" s="704" t="s">
        <v>1330</v>
      </c>
      <c r="Q145" s="703">
        <v>306428</v>
      </c>
      <c r="R145" s="703">
        <v>0</v>
      </c>
      <c r="S145" s="703">
        <v>306428</v>
      </c>
      <c r="T145" s="703">
        <v>0</v>
      </c>
      <c r="U145" s="703">
        <v>0</v>
      </c>
      <c r="V145" s="703">
        <v>0</v>
      </c>
      <c r="W145" s="703">
        <v>140</v>
      </c>
      <c r="X145" s="703">
        <v>0</v>
      </c>
      <c r="Y145" s="703">
        <v>140</v>
      </c>
      <c r="Z145" s="702">
        <v>309132</v>
      </c>
      <c r="AA145" s="702">
        <v>0</v>
      </c>
      <c r="AB145" s="702">
        <v>309132</v>
      </c>
      <c r="AC145" s="703">
        <v>9929</v>
      </c>
      <c r="AD145" s="703">
        <v>0</v>
      </c>
      <c r="AE145" s="703">
        <v>9929</v>
      </c>
      <c r="AF145" s="703">
        <v>0</v>
      </c>
      <c r="AG145" s="703">
        <v>0</v>
      </c>
      <c r="AH145" s="703">
        <v>0</v>
      </c>
    </row>
    <row r="146" spans="1:34" ht="14">
      <c r="A146" s="650" t="s">
        <v>1331</v>
      </c>
      <c r="B146" s="668">
        <f t="shared" si="33"/>
        <v>0</v>
      </c>
      <c r="C146" s="669">
        <f t="shared" si="34"/>
        <v>0</v>
      </c>
      <c r="D146" s="668">
        <f t="shared" si="35"/>
        <v>0</v>
      </c>
      <c r="E146" s="669">
        <f t="shared" si="36"/>
        <v>0</v>
      </c>
      <c r="F146" s="668">
        <f t="shared" si="37"/>
        <v>0</v>
      </c>
      <c r="G146" s="669">
        <f t="shared" si="38"/>
        <v>0</v>
      </c>
      <c r="H146" s="670"/>
      <c r="I146" s="670"/>
      <c r="J146" s="668">
        <f t="shared" si="39"/>
        <v>0</v>
      </c>
      <c r="K146" s="669">
        <f t="shared" si="40"/>
        <v>0</v>
      </c>
      <c r="L146" s="668">
        <f t="shared" si="41"/>
        <v>0</v>
      </c>
      <c r="M146" s="648">
        <f t="shared" si="42"/>
        <v>0</v>
      </c>
      <c r="N146" s="33"/>
      <c r="O146" s="33"/>
      <c r="P146" s="704" t="s">
        <v>1331</v>
      </c>
      <c r="Q146" s="703">
        <v>0</v>
      </c>
      <c r="R146" s="703">
        <v>0</v>
      </c>
      <c r="S146" s="703">
        <v>0</v>
      </c>
      <c r="T146" s="703">
        <v>0</v>
      </c>
      <c r="U146" s="703">
        <v>0</v>
      </c>
      <c r="V146" s="703">
        <v>0</v>
      </c>
      <c r="W146" s="703">
        <v>0</v>
      </c>
      <c r="X146" s="703">
        <v>0</v>
      </c>
      <c r="Y146" s="703">
        <v>0</v>
      </c>
      <c r="Z146" s="702">
        <v>0</v>
      </c>
      <c r="AA146" s="702">
        <v>0</v>
      </c>
      <c r="AB146" s="702">
        <v>0</v>
      </c>
      <c r="AC146" s="703">
        <v>0</v>
      </c>
      <c r="AD146" s="703">
        <v>0</v>
      </c>
      <c r="AE146" s="703">
        <v>0</v>
      </c>
      <c r="AF146" s="703">
        <v>0</v>
      </c>
      <c r="AG146" s="703">
        <v>0</v>
      </c>
      <c r="AH146" s="703">
        <v>0</v>
      </c>
    </row>
    <row r="147" spans="1:34" ht="14">
      <c r="A147" s="650" t="s">
        <v>1332</v>
      </c>
      <c r="B147" s="668">
        <f t="shared" si="33"/>
        <v>0</v>
      </c>
      <c r="C147" s="669">
        <f t="shared" si="34"/>
        <v>0</v>
      </c>
      <c r="D147" s="668">
        <f t="shared" si="35"/>
        <v>0</v>
      </c>
      <c r="E147" s="669">
        <f t="shared" si="36"/>
        <v>0</v>
      </c>
      <c r="F147" s="668">
        <f t="shared" si="37"/>
        <v>0</v>
      </c>
      <c r="G147" s="669">
        <f t="shared" si="38"/>
        <v>0</v>
      </c>
      <c r="H147" s="670"/>
      <c r="I147" s="670"/>
      <c r="J147" s="668">
        <f t="shared" si="39"/>
        <v>0</v>
      </c>
      <c r="K147" s="669">
        <f t="shared" si="40"/>
        <v>0</v>
      </c>
      <c r="L147" s="668">
        <f t="shared" si="41"/>
        <v>0</v>
      </c>
      <c r="M147" s="648">
        <f t="shared" si="42"/>
        <v>0</v>
      </c>
      <c r="N147" s="33"/>
      <c r="O147" s="33"/>
      <c r="P147" s="704" t="s">
        <v>1332</v>
      </c>
      <c r="Q147" s="703">
        <v>0</v>
      </c>
      <c r="R147" s="703">
        <v>0</v>
      </c>
      <c r="S147" s="703">
        <v>0</v>
      </c>
      <c r="T147" s="703">
        <v>0</v>
      </c>
      <c r="U147" s="703">
        <v>0</v>
      </c>
      <c r="V147" s="703">
        <v>0</v>
      </c>
      <c r="W147" s="703">
        <v>0</v>
      </c>
      <c r="X147" s="703">
        <v>0</v>
      </c>
      <c r="Y147" s="703">
        <v>0</v>
      </c>
      <c r="Z147" s="702">
        <v>0</v>
      </c>
      <c r="AA147" s="702">
        <v>0</v>
      </c>
      <c r="AB147" s="702">
        <v>0</v>
      </c>
      <c r="AC147" s="703">
        <v>0</v>
      </c>
      <c r="AD147" s="703">
        <v>0</v>
      </c>
      <c r="AE147" s="703">
        <v>0</v>
      </c>
      <c r="AF147" s="703">
        <v>0</v>
      </c>
      <c r="AG147" s="703">
        <v>0</v>
      </c>
      <c r="AH147" s="703">
        <v>0</v>
      </c>
    </row>
    <row r="148" spans="1:34" ht="14">
      <c r="A148" s="650" t="s">
        <v>1333</v>
      </c>
      <c r="B148" s="668">
        <f t="shared" si="33"/>
        <v>0</v>
      </c>
      <c r="C148" s="669">
        <f t="shared" si="34"/>
        <v>0</v>
      </c>
      <c r="D148" s="668">
        <f t="shared" si="35"/>
        <v>0</v>
      </c>
      <c r="E148" s="669">
        <f t="shared" si="36"/>
        <v>0</v>
      </c>
      <c r="F148" s="668">
        <f t="shared" si="37"/>
        <v>0</v>
      </c>
      <c r="G148" s="669">
        <f t="shared" si="38"/>
        <v>0</v>
      </c>
      <c r="H148" s="670"/>
      <c r="I148" s="670"/>
      <c r="J148" s="668">
        <f t="shared" si="39"/>
        <v>0</v>
      </c>
      <c r="K148" s="669">
        <f t="shared" si="40"/>
        <v>0</v>
      </c>
      <c r="L148" s="668">
        <f t="shared" si="41"/>
        <v>0</v>
      </c>
      <c r="M148" s="648">
        <f t="shared" si="42"/>
        <v>0</v>
      </c>
      <c r="N148" s="33"/>
      <c r="O148" s="33"/>
      <c r="P148" s="704" t="s">
        <v>1333</v>
      </c>
      <c r="Q148" s="703">
        <v>0</v>
      </c>
      <c r="R148" s="703">
        <v>0</v>
      </c>
      <c r="S148" s="703">
        <v>0</v>
      </c>
      <c r="T148" s="703">
        <v>0</v>
      </c>
      <c r="U148" s="703">
        <v>0</v>
      </c>
      <c r="V148" s="703">
        <v>0</v>
      </c>
      <c r="W148" s="703">
        <v>0</v>
      </c>
      <c r="X148" s="703">
        <v>0</v>
      </c>
      <c r="Y148" s="703">
        <v>0</v>
      </c>
      <c r="Z148" s="702">
        <v>0</v>
      </c>
      <c r="AA148" s="702">
        <v>0</v>
      </c>
      <c r="AB148" s="702">
        <v>0</v>
      </c>
      <c r="AC148" s="703">
        <v>0</v>
      </c>
      <c r="AD148" s="703">
        <v>0</v>
      </c>
      <c r="AE148" s="703">
        <v>0</v>
      </c>
      <c r="AF148" s="703">
        <v>0</v>
      </c>
      <c r="AG148" s="703">
        <v>0</v>
      </c>
      <c r="AH148" s="703">
        <v>0</v>
      </c>
    </row>
    <row r="149" spans="1:34" ht="14">
      <c r="A149" s="650" t="s">
        <v>1334</v>
      </c>
      <c r="B149" s="668">
        <f t="shared" si="33"/>
        <v>0</v>
      </c>
      <c r="C149" s="669">
        <f t="shared" si="34"/>
        <v>0</v>
      </c>
      <c r="D149" s="668">
        <f t="shared" si="35"/>
        <v>0</v>
      </c>
      <c r="E149" s="669">
        <f t="shared" si="36"/>
        <v>0</v>
      </c>
      <c r="F149" s="668">
        <f t="shared" si="37"/>
        <v>0</v>
      </c>
      <c r="G149" s="669">
        <f t="shared" si="38"/>
        <v>0</v>
      </c>
      <c r="H149" s="670"/>
      <c r="I149" s="670"/>
      <c r="J149" s="668">
        <f t="shared" si="39"/>
        <v>0</v>
      </c>
      <c r="K149" s="669">
        <f t="shared" si="40"/>
        <v>0</v>
      </c>
      <c r="L149" s="668">
        <f t="shared" si="41"/>
        <v>0</v>
      </c>
      <c r="M149" s="648">
        <f t="shared" si="42"/>
        <v>0</v>
      </c>
      <c r="N149" s="33"/>
      <c r="O149" s="33"/>
      <c r="P149" s="704" t="s">
        <v>1334</v>
      </c>
      <c r="Q149" s="703">
        <v>0</v>
      </c>
      <c r="R149" s="703">
        <v>0</v>
      </c>
      <c r="S149" s="703">
        <v>0</v>
      </c>
      <c r="T149" s="703">
        <v>0</v>
      </c>
      <c r="U149" s="703">
        <v>0</v>
      </c>
      <c r="V149" s="703">
        <v>0</v>
      </c>
      <c r="W149" s="703">
        <v>0</v>
      </c>
      <c r="X149" s="703">
        <v>0</v>
      </c>
      <c r="Y149" s="703">
        <v>0</v>
      </c>
      <c r="Z149" s="702">
        <v>0</v>
      </c>
      <c r="AA149" s="702">
        <v>0</v>
      </c>
      <c r="AB149" s="702">
        <v>0</v>
      </c>
      <c r="AC149" s="703">
        <v>0</v>
      </c>
      <c r="AD149" s="703">
        <v>0</v>
      </c>
      <c r="AE149" s="703">
        <v>0</v>
      </c>
      <c r="AF149" s="703">
        <v>0</v>
      </c>
      <c r="AG149" s="703">
        <v>0</v>
      </c>
      <c r="AH149" s="703">
        <v>0</v>
      </c>
    </row>
    <row r="150" spans="1:34" ht="14">
      <c r="A150" s="650" t="s">
        <v>1335</v>
      </c>
      <c r="B150" s="668">
        <f t="shared" si="33"/>
        <v>0</v>
      </c>
      <c r="C150" s="669">
        <f t="shared" si="34"/>
        <v>0</v>
      </c>
      <c r="D150" s="668">
        <f t="shared" si="35"/>
        <v>0</v>
      </c>
      <c r="E150" s="669">
        <f t="shared" si="36"/>
        <v>0</v>
      </c>
      <c r="F150" s="668">
        <f t="shared" si="37"/>
        <v>0</v>
      </c>
      <c r="G150" s="669">
        <f t="shared" si="38"/>
        <v>0</v>
      </c>
      <c r="H150" s="670"/>
      <c r="I150" s="670"/>
      <c r="J150" s="668">
        <f t="shared" si="39"/>
        <v>0</v>
      </c>
      <c r="K150" s="669">
        <f t="shared" si="40"/>
        <v>0</v>
      </c>
      <c r="L150" s="668">
        <f t="shared" si="41"/>
        <v>0</v>
      </c>
      <c r="M150" s="648">
        <f t="shared" si="42"/>
        <v>0</v>
      </c>
      <c r="N150" s="33"/>
      <c r="O150" s="33"/>
      <c r="P150" s="704" t="s">
        <v>1335</v>
      </c>
      <c r="Q150" s="703">
        <v>0</v>
      </c>
      <c r="R150" s="703">
        <v>0</v>
      </c>
      <c r="S150" s="703">
        <v>0</v>
      </c>
      <c r="T150" s="703">
        <v>0</v>
      </c>
      <c r="U150" s="703">
        <v>0</v>
      </c>
      <c r="V150" s="703">
        <v>0</v>
      </c>
      <c r="W150" s="703">
        <v>0</v>
      </c>
      <c r="X150" s="703">
        <v>0</v>
      </c>
      <c r="Y150" s="703">
        <v>0</v>
      </c>
      <c r="Z150" s="702">
        <v>0</v>
      </c>
      <c r="AA150" s="702">
        <v>0</v>
      </c>
      <c r="AB150" s="702">
        <v>0</v>
      </c>
      <c r="AC150" s="703">
        <v>0</v>
      </c>
      <c r="AD150" s="703">
        <v>0</v>
      </c>
      <c r="AE150" s="703">
        <v>0</v>
      </c>
      <c r="AF150" s="703">
        <v>0</v>
      </c>
      <c r="AG150" s="703">
        <v>0</v>
      </c>
      <c r="AH150" s="703">
        <v>0</v>
      </c>
    </row>
    <row r="151" spans="1:34" ht="14">
      <c r="A151" s="652" t="s">
        <v>1336</v>
      </c>
      <c r="B151" s="668">
        <f t="shared" si="33"/>
        <v>0</v>
      </c>
      <c r="C151" s="669">
        <f t="shared" si="34"/>
        <v>0</v>
      </c>
      <c r="D151" s="668">
        <f t="shared" si="35"/>
        <v>0</v>
      </c>
      <c r="E151" s="669">
        <f t="shared" si="36"/>
        <v>0</v>
      </c>
      <c r="F151" s="668">
        <f t="shared" si="37"/>
        <v>0</v>
      </c>
      <c r="G151" s="669">
        <f t="shared" si="38"/>
        <v>0</v>
      </c>
      <c r="H151" s="670"/>
      <c r="I151" s="670"/>
      <c r="J151" s="668">
        <f t="shared" si="39"/>
        <v>0</v>
      </c>
      <c r="K151" s="669">
        <f t="shared" si="40"/>
        <v>0</v>
      </c>
      <c r="L151" s="668">
        <f t="shared" si="41"/>
        <v>0</v>
      </c>
      <c r="M151" s="648">
        <f t="shared" si="42"/>
        <v>0</v>
      </c>
      <c r="N151" s="33"/>
      <c r="O151" s="33"/>
      <c r="P151" s="142" t="s">
        <v>1336</v>
      </c>
      <c r="Q151" s="703">
        <v>150363</v>
      </c>
      <c r="R151" s="703">
        <v>1761</v>
      </c>
      <c r="S151" s="703">
        <v>152124</v>
      </c>
      <c r="T151" s="703">
        <v>356478</v>
      </c>
      <c r="U151" s="703">
        <v>233</v>
      </c>
      <c r="V151" s="703">
        <v>356711</v>
      </c>
      <c r="W151" s="703">
        <v>583970</v>
      </c>
      <c r="X151" s="703">
        <v>0</v>
      </c>
      <c r="Y151" s="703">
        <v>583970</v>
      </c>
      <c r="Z151" s="702">
        <v>71350</v>
      </c>
      <c r="AA151" s="702">
        <v>10047</v>
      </c>
      <c r="AB151" s="702">
        <v>81397</v>
      </c>
      <c r="AC151" s="703">
        <v>51892</v>
      </c>
      <c r="AD151" s="703">
        <v>0</v>
      </c>
      <c r="AE151" s="703">
        <v>51892</v>
      </c>
      <c r="AF151" s="703">
        <v>224642</v>
      </c>
      <c r="AG151" s="703">
        <v>0</v>
      </c>
      <c r="AH151" s="703">
        <v>224642</v>
      </c>
    </row>
    <row r="152" spans="1:34" ht="14">
      <c r="A152" s="652" t="s">
        <v>1337</v>
      </c>
      <c r="B152" s="668">
        <f t="shared" si="33"/>
        <v>0</v>
      </c>
      <c r="C152" s="669">
        <f t="shared" si="34"/>
        <v>0</v>
      </c>
      <c r="D152" s="668">
        <f t="shared" si="35"/>
        <v>0</v>
      </c>
      <c r="E152" s="669">
        <f t="shared" si="36"/>
        <v>0</v>
      </c>
      <c r="F152" s="668">
        <f t="shared" si="37"/>
        <v>0</v>
      </c>
      <c r="G152" s="669">
        <f t="shared" si="38"/>
        <v>0</v>
      </c>
      <c r="H152" s="670"/>
      <c r="I152" s="670"/>
      <c r="J152" s="668">
        <f t="shared" si="39"/>
        <v>0</v>
      </c>
      <c r="K152" s="669">
        <f t="shared" si="40"/>
        <v>0</v>
      </c>
      <c r="L152" s="668">
        <f t="shared" si="41"/>
        <v>0</v>
      </c>
      <c r="M152" s="648">
        <f t="shared" si="42"/>
        <v>0</v>
      </c>
      <c r="N152" s="33"/>
      <c r="O152" s="33"/>
      <c r="P152" s="142" t="s">
        <v>1337</v>
      </c>
      <c r="Q152" s="703">
        <v>0</v>
      </c>
      <c r="R152" s="703">
        <v>0</v>
      </c>
      <c r="S152" s="703">
        <v>0</v>
      </c>
      <c r="T152" s="703">
        <v>0</v>
      </c>
      <c r="U152" s="703">
        <v>0</v>
      </c>
      <c r="V152" s="703">
        <v>0</v>
      </c>
      <c r="W152" s="703">
        <v>0</v>
      </c>
      <c r="X152" s="703">
        <v>0</v>
      </c>
      <c r="Y152" s="703">
        <v>0</v>
      </c>
      <c r="Z152" s="702">
        <v>0</v>
      </c>
      <c r="AA152" s="702">
        <v>0</v>
      </c>
      <c r="AB152" s="702">
        <v>0</v>
      </c>
      <c r="AC152" s="703">
        <v>0</v>
      </c>
      <c r="AD152" s="703">
        <v>0</v>
      </c>
      <c r="AE152" s="703">
        <v>0</v>
      </c>
      <c r="AF152" s="703">
        <v>0</v>
      </c>
      <c r="AG152" s="703">
        <v>0</v>
      </c>
      <c r="AH152" s="703">
        <v>0</v>
      </c>
    </row>
    <row r="153" spans="1:34" ht="14">
      <c r="A153" s="650" t="s">
        <v>1338</v>
      </c>
      <c r="B153" s="668">
        <f t="shared" si="33"/>
        <v>0</v>
      </c>
      <c r="C153" s="669">
        <f t="shared" si="34"/>
        <v>0</v>
      </c>
      <c r="D153" s="668">
        <f t="shared" si="35"/>
        <v>0</v>
      </c>
      <c r="E153" s="669">
        <f t="shared" si="36"/>
        <v>0</v>
      </c>
      <c r="F153" s="668">
        <f t="shared" si="37"/>
        <v>0</v>
      </c>
      <c r="G153" s="669">
        <f t="shared" si="38"/>
        <v>0</v>
      </c>
      <c r="H153" s="670"/>
      <c r="I153" s="670"/>
      <c r="J153" s="668">
        <f t="shared" si="39"/>
        <v>0</v>
      </c>
      <c r="K153" s="669">
        <f t="shared" si="40"/>
        <v>0</v>
      </c>
      <c r="L153" s="668">
        <f t="shared" si="41"/>
        <v>0</v>
      </c>
      <c r="M153" s="648">
        <f t="shared" si="42"/>
        <v>0</v>
      </c>
      <c r="N153" s="33"/>
      <c r="O153" s="671"/>
      <c r="P153" s="704" t="s">
        <v>1338</v>
      </c>
      <c r="Q153" s="703">
        <v>0</v>
      </c>
      <c r="R153" s="703">
        <v>0</v>
      </c>
      <c r="S153" s="703">
        <v>0</v>
      </c>
      <c r="T153" s="703">
        <v>0</v>
      </c>
      <c r="U153" s="703">
        <v>0</v>
      </c>
      <c r="V153" s="703">
        <v>0</v>
      </c>
      <c r="W153" s="703">
        <v>0</v>
      </c>
      <c r="X153" s="703">
        <v>0</v>
      </c>
      <c r="Y153" s="703">
        <v>0</v>
      </c>
      <c r="Z153" s="702">
        <v>0</v>
      </c>
      <c r="AA153" s="702">
        <v>0</v>
      </c>
      <c r="AB153" s="702">
        <v>0</v>
      </c>
      <c r="AC153" s="703">
        <v>0</v>
      </c>
      <c r="AD153" s="703">
        <v>0</v>
      </c>
      <c r="AE153" s="703">
        <v>0</v>
      </c>
      <c r="AF153" s="703">
        <v>0</v>
      </c>
      <c r="AG153" s="703">
        <v>0</v>
      </c>
      <c r="AH153" s="703">
        <v>0</v>
      </c>
    </row>
    <row r="154" spans="1:34" ht="14">
      <c r="A154" s="650" t="s">
        <v>1339</v>
      </c>
      <c r="B154" s="668">
        <f t="shared" si="33"/>
        <v>68960.92511739023</v>
      </c>
      <c r="C154" s="669">
        <f t="shared" si="34"/>
        <v>355389.24695197301</v>
      </c>
      <c r="D154" s="668">
        <f t="shared" si="35"/>
        <v>0</v>
      </c>
      <c r="E154" s="669">
        <f t="shared" si="36"/>
        <v>219567.38559601287</v>
      </c>
      <c r="F154" s="668">
        <f t="shared" si="37"/>
        <v>0</v>
      </c>
      <c r="G154" s="669">
        <f t="shared" si="38"/>
        <v>0</v>
      </c>
      <c r="H154" s="670"/>
      <c r="I154" s="670"/>
      <c r="J154" s="668">
        <f t="shared" si="39"/>
        <v>0</v>
      </c>
      <c r="K154" s="669">
        <f t="shared" si="40"/>
        <v>0</v>
      </c>
      <c r="L154" s="668">
        <f t="shared" si="41"/>
        <v>0</v>
      </c>
      <c r="M154" s="648">
        <f t="shared" si="42"/>
        <v>0</v>
      </c>
      <c r="N154" s="33"/>
      <c r="O154" s="33"/>
      <c r="P154" s="704" t="s">
        <v>1339</v>
      </c>
      <c r="Q154" s="703">
        <v>4072</v>
      </c>
      <c r="R154" s="703">
        <v>20985</v>
      </c>
      <c r="S154" s="703">
        <v>25057</v>
      </c>
      <c r="T154" s="703">
        <v>0</v>
      </c>
      <c r="U154" s="703">
        <v>12965</v>
      </c>
      <c r="V154" s="703">
        <v>12965</v>
      </c>
      <c r="W154" s="703">
        <v>0</v>
      </c>
      <c r="X154" s="703">
        <v>0</v>
      </c>
      <c r="Y154" s="703">
        <v>0</v>
      </c>
      <c r="Z154" s="702">
        <v>43454</v>
      </c>
      <c r="AA154" s="702">
        <v>16718</v>
      </c>
      <c r="AB154" s="702">
        <v>60172</v>
      </c>
      <c r="AC154" s="703">
        <v>0</v>
      </c>
      <c r="AD154" s="703">
        <v>0</v>
      </c>
      <c r="AE154" s="703">
        <v>0</v>
      </c>
      <c r="AF154" s="703">
        <v>0</v>
      </c>
      <c r="AG154" s="703">
        <v>0</v>
      </c>
      <c r="AH154" s="703">
        <v>0</v>
      </c>
    </row>
    <row r="155" spans="1:34" ht="14">
      <c r="A155" s="650" t="s">
        <v>1340</v>
      </c>
      <c r="B155" s="668">
        <f t="shared" si="33"/>
        <v>0</v>
      </c>
      <c r="C155" s="669">
        <f t="shared" si="34"/>
        <v>0</v>
      </c>
      <c r="D155" s="668">
        <f t="shared" si="35"/>
        <v>0</v>
      </c>
      <c r="E155" s="669">
        <f t="shared" si="36"/>
        <v>0</v>
      </c>
      <c r="F155" s="668">
        <f t="shared" si="37"/>
        <v>0</v>
      </c>
      <c r="G155" s="669">
        <f t="shared" si="38"/>
        <v>0</v>
      </c>
      <c r="H155" s="670"/>
      <c r="I155" s="670"/>
      <c r="J155" s="668">
        <f t="shared" si="39"/>
        <v>0</v>
      </c>
      <c r="K155" s="669">
        <f t="shared" si="40"/>
        <v>0</v>
      </c>
      <c r="L155" s="668">
        <f t="shared" si="41"/>
        <v>0</v>
      </c>
      <c r="M155" s="648">
        <f t="shared" si="42"/>
        <v>0</v>
      </c>
      <c r="N155" s="33"/>
      <c r="O155" s="33"/>
      <c r="P155" s="704" t="s">
        <v>1340</v>
      </c>
      <c r="Q155" s="703">
        <v>0</v>
      </c>
      <c r="R155" s="703">
        <v>0</v>
      </c>
      <c r="S155" s="703">
        <v>0</v>
      </c>
      <c r="T155" s="703">
        <v>0</v>
      </c>
      <c r="U155" s="703">
        <v>0</v>
      </c>
      <c r="V155" s="703">
        <v>0</v>
      </c>
      <c r="W155" s="703">
        <v>0</v>
      </c>
      <c r="X155" s="703">
        <v>0</v>
      </c>
      <c r="Y155" s="703">
        <v>0</v>
      </c>
      <c r="Z155" s="702">
        <v>0</v>
      </c>
      <c r="AA155" s="702">
        <v>0</v>
      </c>
      <c r="AB155" s="702">
        <v>0</v>
      </c>
      <c r="AC155" s="703">
        <v>0</v>
      </c>
      <c r="AD155" s="703">
        <v>0</v>
      </c>
      <c r="AE155" s="703">
        <v>0</v>
      </c>
      <c r="AF155" s="703">
        <v>0</v>
      </c>
      <c r="AG155" s="703">
        <v>0</v>
      </c>
      <c r="AH155" s="703">
        <v>0</v>
      </c>
    </row>
    <row r="156" spans="1:34" ht="14">
      <c r="A156" s="650" t="s">
        <v>1341</v>
      </c>
      <c r="B156" s="668">
        <f t="shared" si="33"/>
        <v>0</v>
      </c>
      <c r="C156" s="669">
        <f t="shared" si="34"/>
        <v>0</v>
      </c>
      <c r="D156" s="668">
        <f t="shared" si="35"/>
        <v>0</v>
      </c>
      <c r="E156" s="669">
        <f t="shared" si="36"/>
        <v>0</v>
      </c>
      <c r="F156" s="668">
        <f t="shared" si="37"/>
        <v>0</v>
      </c>
      <c r="G156" s="669">
        <f t="shared" si="38"/>
        <v>0</v>
      </c>
      <c r="H156" s="670"/>
      <c r="I156" s="670"/>
      <c r="J156" s="668">
        <f t="shared" si="39"/>
        <v>0</v>
      </c>
      <c r="K156" s="669">
        <f t="shared" si="40"/>
        <v>0</v>
      </c>
      <c r="L156" s="668">
        <f t="shared" si="41"/>
        <v>0</v>
      </c>
      <c r="M156" s="648">
        <f t="shared" si="42"/>
        <v>0</v>
      </c>
      <c r="N156" s="33"/>
      <c r="O156" s="33"/>
      <c r="P156" s="704" t="s">
        <v>1341</v>
      </c>
      <c r="Q156" s="703">
        <v>0</v>
      </c>
      <c r="R156" s="703">
        <v>0</v>
      </c>
      <c r="S156" s="703">
        <v>0</v>
      </c>
      <c r="T156" s="703">
        <v>0</v>
      </c>
      <c r="U156" s="703">
        <v>0</v>
      </c>
      <c r="V156" s="703">
        <v>0</v>
      </c>
      <c r="W156" s="703">
        <v>0</v>
      </c>
      <c r="X156" s="703">
        <v>0</v>
      </c>
      <c r="Y156" s="703">
        <v>0</v>
      </c>
      <c r="Z156" s="702">
        <v>0</v>
      </c>
      <c r="AA156" s="702">
        <v>0</v>
      </c>
      <c r="AB156" s="702">
        <v>0</v>
      </c>
      <c r="AC156" s="703">
        <v>0</v>
      </c>
      <c r="AD156" s="703">
        <v>0</v>
      </c>
      <c r="AE156" s="703">
        <v>0</v>
      </c>
      <c r="AF156" s="703">
        <v>0</v>
      </c>
      <c r="AG156" s="703">
        <v>0</v>
      </c>
      <c r="AH156" s="703">
        <v>0</v>
      </c>
    </row>
    <row r="157" spans="1:34" ht="14">
      <c r="A157" s="650" t="s">
        <v>1342</v>
      </c>
      <c r="B157" s="668">
        <f t="shared" si="33"/>
        <v>0</v>
      </c>
      <c r="C157" s="669">
        <f t="shared" si="34"/>
        <v>0</v>
      </c>
      <c r="D157" s="668">
        <f t="shared" si="35"/>
        <v>0</v>
      </c>
      <c r="E157" s="669">
        <f t="shared" si="36"/>
        <v>0</v>
      </c>
      <c r="F157" s="668">
        <f t="shared" si="37"/>
        <v>0</v>
      </c>
      <c r="G157" s="669">
        <f t="shared" si="38"/>
        <v>0</v>
      </c>
      <c r="H157" s="670"/>
      <c r="I157" s="670"/>
      <c r="J157" s="668">
        <f t="shared" si="39"/>
        <v>0</v>
      </c>
      <c r="K157" s="669">
        <f t="shared" si="40"/>
        <v>0</v>
      </c>
      <c r="L157" s="668">
        <f t="shared" si="41"/>
        <v>0</v>
      </c>
      <c r="M157" s="648">
        <f t="shared" si="42"/>
        <v>0</v>
      </c>
      <c r="N157" s="33"/>
      <c r="O157" s="671"/>
      <c r="P157" s="704" t="s">
        <v>1342</v>
      </c>
      <c r="Q157" s="703">
        <v>0</v>
      </c>
      <c r="R157" s="703">
        <v>0</v>
      </c>
      <c r="S157" s="703">
        <v>0</v>
      </c>
      <c r="T157" s="703">
        <v>1288661</v>
      </c>
      <c r="U157" s="703">
        <v>0</v>
      </c>
      <c r="V157" s="703">
        <v>1288661</v>
      </c>
      <c r="W157" s="703">
        <v>0</v>
      </c>
      <c r="X157" s="703">
        <v>0</v>
      </c>
      <c r="Y157" s="703">
        <v>0</v>
      </c>
      <c r="Z157" s="702">
        <v>36278</v>
      </c>
      <c r="AA157" s="702">
        <v>0</v>
      </c>
      <c r="AB157" s="702">
        <v>36278</v>
      </c>
      <c r="AC157" s="703">
        <v>0</v>
      </c>
      <c r="AD157" s="703">
        <v>0</v>
      </c>
      <c r="AE157" s="703">
        <v>0</v>
      </c>
      <c r="AF157" s="703">
        <v>1344458</v>
      </c>
      <c r="AG157" s="703">
        <v>0</v>
      </c>
      <c r="AH157" s="703">
        <v>1344458</v>
      </c>
    </row>
    <row r="158" spans="1:34" ht="14">
      <c r="A158" s="650" t="s">
        <v>1343</v>
      </c>
      <c r="B158" s="668">
        <f t="shared" si="33"/>
        <v>0</v>
      </c>
      <c r="C158" s="669">
        <f t="shared" si="34"/>
        <v>0</v>
      </c>
      <c r="D158" s="668">
        <f t="shared" si="35"/>
        <v>0</v>
      </c>
      <c r="E158" s="669">
        <f t="shared" si="36"/>
        <v>0</v>
      </c>
      <c r="F158" s="668">
        <f t="shared" si="37"/>
        <v>0</v>
      </c>
      <c r="G158" s="669">
        <f t="shared" si="38"/>
        <v>0</v>
      </c>
      <c r="H158" s="670"/>
      <c r="I158" s="670"/>
      <c r="J158" s="668">
        <f t="shared" si="39"/>
        <v>0</v>
      </c>
      <c r="K158" s="669">
        <f t="shared" si="40"/>
        <v>0</v>
      </c>
      <c r="L158" s="668">
        <f t="shared" si="41"/>
        <v>0</v>
      </c>
      <c r="M158" s="648">
        <f t="shared" si="42"/>
        <v>0</v>
      </c>
      <c r="N158" s="33"/>
      <c r="O158" s="33"/>
      <c r="P158" s="704" t="s">
        <v>1343</v>
      </c>
      <c r="Q158" s="703">
        <v>0</v>
      </c>
      <c r="R158" s="703">
        <v>0</v>
      </c>
      <c r="S158" s="703">
        <v>0</v>
      </c>
      <c r="T158" s="703">
        <v>0</v>
      </c>
      <c r="U158" s="703">
        <v>0</v>
      </c>
      <c r="V158" s="703">
        <v>0</v>
      </c>
      <c r="W158" s="703">
        <v>0</v>
      </c>
      <c r="X158" s="703">
        <v>0</v>
      </c>
      <c r="Y158" s="703">
        <v>0</v>
      </c>
      <c r="Z158" s="702">
        <v>0</v>
      </c>
      <c r="AA158" s="702">
        <v>0</v>
      </c>
      <c r="AB158" s="702">
        <v>0</v>
      </c>
      <c r="AC158" s="703">
        <v>0</v>
      </c>
      <c r="AD158" s="703">
        <v>0</v>
      </c>
      <c r="AE158" s="703">
        <v>0</v>
      </c>
      <c r="AF158" s="703">
        <v>0</v>
      </c>
      <c r="AG158" s="703">
        <v>0</v>
      </c>
      <c r="AH158" s="703">
        <v>0</v>
      </c>
    </row>
    <row r="159" spans="1:34" ht="14">
      <c r="A159" s="188" t="s">
        <v>1344</v>
      </c>
      <c r="B159" s="668">
        <f t="shared" si="33"/>
        <v>0</v>
      </c>
      <c r="C159" s="669">
        <f t="shared" si="34"/>
        <v>0</v>
      </c>
      <c r="D159" s="668">
        <f t="shared" si="35"/>
        <v>0</v>
      </c>
      <c r="E159" s="669">
        <f t="shared" si="36"/>
        <v>0</v>
      </c>
      <c r="F159" s="668">
        <f t="shared" si="37"/>
        <v>0</v>
      </c>
      <c r="G159" s="669">
        <f t="shared" si="38"/>
        <v>0</v>
      </c>
      <c r="H159" s="670"/>
      <c r="I159" s="670"/>
      <c r="J159" s="668">
        <f t="shared" si="39"/>
        <v>0</v>
      </c>
      <c r="K159" s="669">
        <f t="shared" si="40"/>
        <v>0</v>
      </c>
      <c r="L159" s="668">
        <f t="shared" si="41"/>
        <v>0</v>
      </c>
      <c r="M159" s="648">
        <f t="shared" si="42"/>
        <v>0</v>
      </c>
      <c r="N159" s="33"/>
      <c r="O159" s="33"/>
      <c r="P159" s="188" t="s">
        <v>1344</v>
      </c>
      <c r="Q159" s="703">
        <v>0</v>
      </c>
      <c r="R159" s="703">
        <v>420</v>
      </c>
      <c r="S159" s="703">
        <v>420</v>
      </c>
      <c r="T159" s="703">
        <v>0</v>
      </c>
      <c r="U159" s="703">
        <v>45399</v>
      </c>
      <c r="V159" s="703">
        <v>45399</v>
      </c>
      <c r="W159" s="703">
        <v>0</v>
      </c>
      <c r="X159" s="703">
        <v>0</v>
      </c>
      <c r="Y159" s="703">
        <v>0</v>
      </c>
      <c r="Z159" s="702">
        <v>0</v>
      </c>
      <c r="AA159" s="702">
        <v>21132</v>
      </c>
      <c r="AB159" s="702">
        <v>21132</v>
      </c>
      <c r="AC159" s="703">
        <v>0</v>
      </c>
      <c r="AD159" s="703">
        <v>0</v>
      </c>
      <c r="AE159" s="703">
        <v>0</v>
      </c>
      <c r="AF159" s="703">
        <v>0</v>
      </c>
      <c r="AG159" s="703">
        <v>0</v>
      </c>
      <c r="AH159" s="703">
        <v>0</v>
      </c>
    </row>
    <row r="160" spans="1:34" ht="14">
      <c r="A160" s="650" t="s">
        <v>1345</v>
      </c>
      <c r="B160" s="668">
        <f t="shared" si="33"/>
        <v>0</v>
      </c>
      <c r="C160" s="669">
        <f t="shared" si="34"/>
        <v>0</v>
      </c>
      <c r="D160" s="668">
        <f t="shared" si="35"/>
        <v>0</v>
      </c>
      <c r="E160" s="669">
        <f t="shared" si="36"/>
        <v>0</v>
      </c>
      <c r="F160" s="668">
        <f t="shared" si="37"/>
        <v>1386719.24415679</v>
      </c>
      <c r="G160" s="669">
        <f t="shared" si="38"/>
        <v>0</v>
      </c>
      <c r="H160" s="670"/>
      <c r="I160" s="670"/>
      <c r="J160" s="668">
        <f t="shared" si="39"/>
        <v>0</v>
      </c>
      <c r="K160" s="669">
        <f t="shared" si="40"/>
        <v>0</v>
      </c>
      <c r="L160" s="668">
        <f t="shared" si="41"/>
        <v>0</v>
      </c>
      <c r="M160" s="648">
        <f t="shared" si="42"/>
        <v>0</v>
      </c>
      <c r="N160" s="33"/>
      <c r="O160" s="671"/>
      <c r="P160" s="704" t="s">
        <v>1345</v>
      </c>
      <c r="Q160" s="703">
        <v>0</v>
      </c>
      <c r="R160" s="703">
        <v>0</v>
      </c>
      <c r="S160" s="703">
        <v>0</v>
      </c>
      <c r="T160" s="703">
        <v>0</v>
      </c>
      <c r="U160" s="703">
        <v>0</v>
      </c>
      <c r="V160" s="703">
        <v>0</v>
      </c>
      <c r="W160" s="703">
        <v>69640</v>
      </c>
      <c r="X160" s="703">
        <v>0</v>
      </c>
      <c r="Y160" s="703">
        <v>69640</v>
      </c>
      <c r="Z160" s="702">
        <v>0</v>
      </c>
      <c r="AA160" s="702">
        <v>0</v>
      </c>
      <c r="AB160" s="702">
        <v>0</v>
      </c>
      <c r="AC160" s="703">
        <v>0</v>
      </c>
      <c r="AD160" s="703">
        <v>0</v>
      </c>
      <c r="AE160" s="703">
        <v>0</v>
      </c>
      <c r="AF160" s="703">
        <v>0</v>
      </c>
      <c r="AG160" s="703">
        <v>0</v>
      </c>
      <c r="AH160" s="703">
        <v>0</v>
      </c>
    </row>
    <row r="161" spans="1:36" ht="14">
      <c r="A161" s="650" t="s">
        <v>1346</v>
      </c>
      <c r="B161" s="668">
        <f t="shared" si="33"/>
        <v>0</v>
      </c>
      <c r="C161" s="669">
        <f t="shared" si="34"/>
        <v>0</v>
      </c>
      <c r="D161" s="668">
        <f t="shared" si="35"/>
        <v>0</v>
      </c>
      <c r="E161" s="669">
        <f t="shared" si="36"/>
        <v>0</v>
      </c>
      <c r="F161" s="668">
        <f t="shared" si="37"/>
        <v>0</v>
      </c>
      <c r="G161" s="669">
        <f t="shared" si="38"/>
        <v>0</v>
      </c>
      <c r="H161" s="670"/>
      <c r="I161" s="670"/>
      <c r="J161" s="668">
        <f t="shared" si="39"/>
        <v>0</v>
      </c>
      <c r="K161" s="669">
        <f t="shared" si="40"/>
        <v>0</v>
      </c>
      <c r="L161" s="668">
        <f t="shared" si="41"/>
        <v>0</v>
      </c>
      <c r="M161" s="648">
        <f t="shared" si="42"/>
        <v>0</v>
      </c>
      <c r="N161" s="33"/>
      <c r="O161" s="33"/>
      <c r="P161" s="704" t="s">
        <v>1346</v>
      </c>
      <c r="Q161" s="703">
        <v>41538</v>
      </c>
      <c r="R161" s="703">
        <v>0</v>
      </c>
      <c r="S161" s="703">
        <v>41538</v>
      </c>
      <c r="T161" s="703">
        <v>288886</v>
      </c>
      <c r="U161" s="703">
        <v>8</v>
      </c>
      <c r="V161" s="703">
        <v>288894</v>
      </c>
      <c r="W161" s="703">
        <v>0</v>
      </c>
      <c r="X161" s="703">
        <v>0</v>
      </c>
      <c r="Y161" s="703">
        <v>0</v>
      </c>
      <c r="Z161" s="702">
        <v>79898</v>
      </c>
      <c r="AA161" s="702">
        <v>20</v>
      </c>
      <c r="AB161" s="702">
        <v>79918</v>
      </c>
      <c r="AC161" s="703">
        <v>24015</v>
      </c>
      <c r="AD161" s="703">
        <v>0</v>
      </c>
      <c r="AE161" s="703">
        <v>24015</v>
      </c>
      <c r="AF161" s="703">
        <v>0</v>
      </c>
      <c r="AG161" s="703">
        <v>0</v>
      </c>
      <c r="AH161" s="703">
        <v>0</v>
      </c>
    </row>
    <row r="162" spans="1:36" ht="14">
      <c r="A162" s="662" t="s">
        <v>1347</v>
      </c>
      <c r="B162" s="668">
        <f t="shared" si="33"/>
        <v>3464103.4226272064</v>
      </c>
      <c r="C162" s="669">
        <f t="shared" si="34"/>
        <v>0</v>
      </c>
      <c r="D162" s="668">
        <f t="shared" si="35"/>
        <v>0</v>
      </c>
      <c r="E162" s="669">
        <f t="shared" si="36"/>
        <v>0</v>
      </c>
      <c r="F162" s="668">
        <f t="shared" si="37"/>
        <v>0</v>
      </c>
      <c r="G162" s="669">
        <f t="shared" si="38"/>
        <v>0</v>
      </c>
      <c r="H162" s="670"/>
      <c r="I162" s="670"/>
      <c r="J162" s="668">
        <f t="shared" si="39"/>
        <v>71695.194135258062</v>
      </c>
      <c r="K162" s="669">
        <f t="shared" si="40"/>
        <v>0</v>
      </c>
      <c r="L162" s="668">
        <f t="shared" si="41"/>
        <v>0</v>
      </c>
      <c r="M162" s="648">
        <f t="shared" si="42"/>
        <v>0</v>
      </c>
      <c r="N162" s="33"/>
      <c r="O162" s="33"/>
      <c r="P162" s="704" t="s">
        <v>1347</v>
      </c>
      <c r="Q162" s="703">
        <v>228105</v>
      </c>
      <c r="R162" s="703">
        <v>0</v>
      </c>
      <c r="S162" s="703">
        <v>228105</v>
      </c>
      <c r="T162" s="703">
        <v>0</v>
      </c>
      <c r="U162" s="703">
        <v>0</v>
      </c>
      <c r="V162" s="703">
        <v>0</v>
      </c>
      <c r="W162" s="703">
        <v>0</v>
      </c>
      <c r="X162" s="703">
        <v>0</v>
      </c>
      <c r="Y162" s="703">
        <v>0</v>
      </c>
      <c r="Z162" s="702">
        <v>226127</v>
      </c>
      <c r="AA162" s="702">
        <v>0</v>
      </c>
      <c r="AB162" s="702">
        <v>226127</v>
      </c>
      <c r="AC162" s="703">
        <v>4721</v>
      </c>
      <c r="AD162" s="703">
        <v>0</v>
      </c>
      <c r="AE162" s="703">
        <v>4721</v>
      </c>
      <c r="AF162" s="703">
        <v>0</v>
      </c>
      <c r="AG162" s="703">
        <v>0</v>
      </c>
      <c r="AH162" s="703">
        <v>0</v>
      </c>
    </row>
    <row r="163" spans="1:36" ht="14">
      <c r="A163" s="655"/>
      <c r="B163" s="672"/>
      <c r="C163" s="672"/>
      <c r="D163" s="672"/>
      <c r="E163" s="672"/>
      <c r="F163" s="672"/>
      <c r="G163" s="672"/>
      <c r="H163" s="670"/>
      <c r="I163" s="670"/>
      <c r="J163" s="672"/>
      <c r="K163" s="672"/>
      <c r="L163" s="672"/>
      <c r="M163" s="656"/>
      <c r="N163" s="33"/>
      <c r="O163" s="33"/>
      <c r="P163" s="705" t="s">
        <v>196</v>
      </c>
      <c r="Q163" s="706">
        <v>730506</v>
      </c>
      <c r="R163" s="706">
        <v>23166</v>
      </c>
      <c r="S163" s="706">
        <v>753672</v>
      </c>
      <c r="T163" s="706">
        <v>1934025</v>
      </c>
      <c r="U163" s="706">
        <v>58605</v>
      </c>
      <c r="V163" s="706">
        <v>1992630</v>
      </c>
      <c r="W163" s="706">
        <v>653750</v>
      </c>
      <c r="X163" s="706">
        <v>0</v>
      </c>
      <c r="Y163" s="706">
        <v>653750</v>
      </c>
      <c r="Z163" s="706">
        <v>766239</v>
      </c>
      <c r="AA163" s="706">
        <v>47917</v>
      </c>
      <c r="AB163" s="706">
        <v>814156</v>
      </c>
      <c r="AC163" s="706">
        <v>90557</v>
      </c>
      <c r="AD163" s="706">
        <v>0</v>
      </c>
      <c r="AE163" s="706">
        <v>90557</v>
      </c>
      <c r="AF163" s="706">
        <v>1569100</v>
      </c>
      <c r="AG163" s="706">
        <v>0</v>
      </c>
      <c r="AH163" s="706">
        <v>1569100</v>
      </c>
      <c r="AI163" s="140">
        <f>S163+V163+Y163+AB163+AE163+AH163</f>
        <v>5873865</v>
      </c>
      <c r="AJ163" s="654"/>
    </row>
    <row r="164" spans="1:36">
      <c r="O164" s="33"/>
      <c r="P164" s="33"/>
      <c r="Q164" s="33"/>
      <c r="R164" s="33"/>
      <c r="T164" s="654"/>
      <c r="V164" s="654"/>
    </row>
    <row r="165" spans="1:36" ht="14.5" thickBot="1">
      <c r="A165" s="658"/>
      <c r="B165" s="658"/>
      <c r="C165" s="61"/>
      <c r="D165" s="61"/>
      <c r="E165" s="61"/>
      <c r="I165" s="61"/>
      <c r="J165" s="61"/>
      <c r="K165" s="33"/>
      <c r="O165" s="33"/>
      <c r="P165" s="33"/>
      <c r="Q165" s="33"/>
      <c r="R165" s="33"/>
    </row>
    <row r="166" spans="1:36" ht="13" thickBot="1">
      <c r="A166" s="883" t="s">
        <v>1418</v>
      </c>
      <c r="B166" s="884"/>
      <c r="C166" s="884"/>
      <c r="D166" s="884"/>
      <c r="E166" s="884"/>
      <c r="F166" s="884"/>
      <c r="G166" s="884"/>
      <c r="H166" s="884"/>
      <c r="I166" s="884"/>
      <c r="J166" s="884"/>
      <c r="K166" s="884"/>
      <c r="L166" s="884"/>
      <c r="M166" s="885"/>
      <c r="N166" s="139"/>
      <c r="O166" s="33"/>
      <c r="P166" s="872" t="s">
        <v>1419</v>
      </c>
      <c r="Q166" s="878" t="s">
        <v>1418</v>
      </c>
      <c r="R166" s="879"/>
      <c r="S166" s="879"/>
      <c r="T166" s="879"/>
      <c r="U166" s="879"/>
      <c r="V166" s="879"/>
      <c r="W166" s="879"/>
      <c r="X166" s="879"/>
      <c r="Y166" s="879"/>
      <c r="Z166" s="879"/>
      <c r="AA166" s="879"/>
      <c r="AB166" s="879"/>
      <c r="AC166" s="879"/>
      <c r="AD166" s="879"/>
      <c r="AE166" s="880"/>
      <c r="AF166" s="880"/>
      <c r="AG166" s="880"/>
      <c r="AH166" s="881"/>
    </row>
    <row r="167" spans="1:36" ht="42" customHeight="1" thickBot="1">
      <c r="A167" s="906" t="s">
        <v>1361</v>
      </c>
      <c r="B167" s="876" t="s">
        <v>1366</v>
      </c>
      <c r="C167" s="874" t="s">
        <v>1367</v>
      </c>
      <c r="D167" s="876" t="s">
        <v>1420</v>
      </c>
      <c r="E167" s="874" t="s">
        <v>1421</v>
      </c>
      <c r="F167" s="876" t="s">
        <v>1422</v>
      </c>
      <c r="G167" s="874" t="s">
        <v>1423</v>
      </c>
      <c r="H167" s="876" t="s">
        <v>1424</v>
      </c>
      <c r="I167" s="874" t="s">
        <v>1425</v>
      </c>
      <c r="J167" s="876" t="s">
        <v>1426</v>
      </c>
      <c r="K167" s="874" t="s">
        <v>1427</v>
      </c>
      <c r="L167" s="876" t="s">
        <v>1426</v>
      </c>
      <c r="M167" s="874" t="s">
        <v>1427</v>
      </c>
      <c r="N167" s="33"/>
      <c r="O167" s="33"/>
      <c r="P167" s="905" t="s">
        <v>1365</v>
      </c>
      <c r="Q167" s="878" t="s">
        <v>232</v>
      </c>
      <c r="R167" s="879"/>
      <c r="S167" s="882"/>
      <c r="T167" s="878" t="s">
        <v>212</v>
      </c>
      <c r="U167" s="879"/>
      <c r="V167" s="882"/>
      <c r="W167" s="878" t="s">
        <v>228</v>
      </c>
      <c r="X167" s="879"/>
      <c r="Y167" s="882"/>
      <c r="Z167" s="878" t="s">
        <v>229</v>
      </c>
      <c r="AA167" s="879"/>
      <c r="AB167" s="882"/>
      <c r="AC167" s="889" t="s">
        <v>231</v>
      </c>
      <c r="AD167" s="890"/>
      <c r="AE167" s="891"/>
      <c r="AF167" s="879" t="s">
        <v>230</v>
      </c>
      <c r="AG167" s="879"/>
      <c r="AH167" s="882"/>
    </row>
    <row r="168" spans="1:36" ht="13" thickBot="1">
      <c r="A168" s="907"/>
      <c r="B168" s="877"/>
      <c r="C168" s="875"/>
      <c r="D168" s="877"/>
      <c r="E168" s="875"/>
      <c r="F168" s="877" t="s">
        <v>1362</v>
      </c>
      <c r="G168" s="875" t="s">
        <v>1362</v>
      </c>
      <c r="H168" s="877" t="s">
        <v>1362</v>
      </c>
      <c r="I168" s="875" t="s">
        <v>1362</v>
      </c>
      <c r="J168" s="877" t="s">
        <v>1362</v>
      </c>
      <c r="K168" s="875" t="s">
        <v>1362</v>
      </c>
      <c r="L168" s="877" t="s">
        <v>1362</v>
      </c>
      <c r="M168" s="875" t="s">
        <v>1362</v>
      </c>
      <c r="N168" s="33"/>
      <c r="O168" s="33"/>
      <c r="P168" s="873">
        <v>7160324</v>
      </c>
      <c r="Q168" s="217" t="s">
        <v>1362</v>
      </c>
      <c r="R168" s="64" t="s">
        <v>1363</v>
      </c>
      <c r="S168" s="64" t="s">
        <v>1364</v>
      </c>
      <c r="T168" s="217" t="s">
        <v>1362</v>
      </c>
      <c r="U168" s="64" t="s">
        <v>1363</v>
      </c>
      <c r="V168" s="64" t="s">
        <v>1364</v>
      </c>
      <c r="W168" s="217" t="s">
        <v>1362</v>
      </c>
      <c r="X168" s="64" t="s">
        <v>1363</v>
      </c>
      <c r="Y168" s="64" t="s">
        <v>1364</v>
      </c>
      <c r="Z168" s="217" t="s">
        <v>1362</v>
      </c>
      <c r="AA168" s="64" t="s">
        <v>1363</v>
      </c>
      <c r="AB168" s="64" t="s">
        <v>1364</v>
      </c>
      <c r="AC168" s="699" t="s">
        <v>1362</v>
      </c>
      <c r="AD168" s="700" t="s">
        <v>1363</v>
      </c>
      <c r="AE168" s="700" t="s">
        <v>1364</v>
      </c>
      <c r="AF168" s="657" t="s">
        <v>1362</v>
      </c>
      <c r="AG168" s="64" t="s">
        <v>1363</v>
      </c>
      <c r="AH168" s="64" t="s">
        <v>1364</v>
      </c>
    </row>
    <row r="169" spans="1:36" ht="14">
      <c r="A169" s="187" t="s">
        <v>2423</v>
      </c>
      <c r="B169" s="668">
        <f t="shared" ref="B169:B187" si="43">Q169*$F36</f>
        <v>0</v>
      </c>
      <c r="C169" s="669">
        <f t="shared" ref="C169:C187" si="44">R169*$F36</f>
        <v>0</v>
      </c>
      <c r="D169" s="668">
        <f t="shared" ref="D169:D187" si="45">T169*$F36</f>
        <v>0</v>
      </c>
      <c r="E169" s="669">
        <f t="shared" ref="E169:E187" si="46">U169*$F36</f>
        <v>0</v>
      </c>
      <c r="F169" s="668">
        <f t="shared" ref="F169:F187" si="47">W169*$F36</f>
        <v>0</v>
      </c>
      <c r="G169" s="669">
        <f t="shared" ref="G169:G187" si="48">X169*$F36</f>
        <v>0</v>
      </c>
      <c r="H169" s="668">
        <f t="shared" ref="H169:H187" si="49">Z169*$F36</f>
        <v>0</v>
      </c>
      <c r="I169" s="669">
        <f t="shared" ref="I169:I187" si="50">AA169*$F36</f>
        <v>0</v>
      </c>
      <c r="J169" s="670"/>
      <c r="K169" s="670"/>
      <c r="L169" s="668">
        <f t="shared" ref="L169:L187" si="51">AF169*$F36</f>
        <v>0</v>
      </c>
      <c r="M169" s="648">
        <f t="shared" ref="M169:M187" si="52">AG169*$F36</f>
        <v>0</v>
      </c>
      <c r="N169" s="33"/>
      <c r="O169" s="33"/>
      <c r="P169" s="188" t="s">
        <v>2423</v>
      </c>
      <c r="Q169" s="703">
        <v>0</v>
      </c>
      <c r="R169" s="703">
        <v>0</v>
      </c>
      <c r="S169" s="703">
        <v>0</v>
      </c>
      <c r="T169" s="703">
        <v>0</v>
      </c>
      <c r="U169" s="703">
        <v>0</v>
      </c>
      <c r="V169" s="703">
        <v>0</v>
      </c>
      <c r="W169" s="703">
        <v>0</v>
      </c>
      <c r="X169" s="703">
        <v>0</v>
      </c>
      <c r="Y169" s="703">
        <v>0</v>
      </c>
      <c r="Z169" s="703">
        <v>0</v>
      </c>
      <c r="AA169" s="703">
        <v>0</v>
      </c>
      <c r="AB169" s="703">
        <v>0</v>
      </c>
      <c r="AC169" s="702">
        <v>0</v>
      </c>
      <c r="AD169" s="702">
        <v>0</v>
      </c>
      <c r="AE169" s="702">
        <v>0</v>
      </c>
      <c r="AF169" s="703">
        <v>0</v>
      </c>
      <c r="AG169" s="703">
        <v>0</v>
      </c>
      <c r="AH169" s="703">
        <v>0</v>
      </c>
    </row>
    <row r="170" spans="1:36" ht="14">
      <c r="A170" s="650" t="s">
        <v>1330</v>
      </c>
      <c r="B170" s="668">
        <f t="shared" si="43"/>
        <v>0</v>
      </c>
      <c r="C170" s="669">
        <f t="shared" si="44"/>
        <v>0</v>
      </c>
      <c r="D170" s="668">
        <f t="shared" si="45"/>
        <v>0</v>
      </c>
      <c r="E170" s="669">
        <f t="shared" si="46"/>
        <v>0</v>
      </c>
      <c r="F170" s="668">
        <f t="shared" si="47"/>
        <v>0</v>
      </c>
      <c r="G170" s="669">
        <f t="shared" si="48"/>
        <v>0</v>
      </c>
      <c r="H170" s="668">
        <f t="shared" si="49"/>
        <v>0</v>
      </c>
      <c r="I170" s="669">
        <f t="shared" si="50"/>
        <v>0</v>
      </c>
      <c r="J170" s="670"/>
      <c r="K170" s="670"/>
      <c r="L170" s="668">
        <f t="shared" si="51"/>
        <v>0</v>
      </c>
      <c r="M170" s="648">
        <f t="shared" si="52"/>
        <v>0</v>
      </c>
      <c r="N170" s="33"/>
      <c r="O170" s="33"/>
      <c r="P170" s="704" t="s">
        <v>1330</v>
      </c>
      <c r="Q170" s="703">
        <v>0</v>
      </c>
      <c r="R170" s="703">
        <v>0</v>
      </c>
      <c r="S170" s="703">
        <v>0</v>
      </c>
      <c r="T170" s="703">
        <v>0</v>
      </c>
      <c r="U170" s="703">
        <v>0</v>
      </c>
      <c r="V170" s="703">
        <v>0</v>
      </c>
      <c r="W170" s="703">
        <v>0</v>
      </c>
      <c r="X170" s="703">
        <v>0</v>
      </c>
      <c r="Y170" s="703">
        <v>0</v>
      </c>
      <c r="Z170" s="703">
        <v>0</v>
      </c>
      <c r="AA170" s="703">
        <v>0</v>
      </c>
      <c r="AB170" s="703">
        <v>0</v>
      </c>
      <c r="AC170" s="702">
        <v>0</v>
      </c>
      <c r="AD170" s="702">
        <v>0</v>
      </c>
      <c r="AE170" s="702">
        <v>0</v>
      </c>
      <c r="AF170" s="703">
        <v>0</v>
      </c>
      <c r="AG170" s="703">
        <v>0</v>
      </c>
      <c r="AH170" s="703">
        <v>0</v>
      </c>
    </row>
    <row r="171" spans="1:36" ht="14">
      <c r="A171" s="650" t="s">
        <v>1331</v>
      </c>
      <c r="B171" s="668">
        <f t="shared" si="43"/>
        <v>0</v>
      </c>
      <c r="C171" s="669">
        <f t="shared" si="44"/>
        <v>0</v>
      </c>
      <c r="D171" s="668">
        <f t="shared" si="45"/>
        <v>0</v>
      </c>
      <c r="E171" s="669">
        <f t="shared" si="46"/>
        <v>0</v>
      </c>
      <c r="F171" s="668">
        <f t="shared" si="47"/>
        <v>0</v>
      </c>
      <c r="G171" s="669">
        <f t="shared" si="48"/>
        <v>0</v>
      </c>
      <c r="H171" s="668">
        <f t="shared" si="49"/>
        <v>0</v>
      </c>
      <c r="I171" s="669">
        <f t="shared" si="50"/>
        <v>0</v>
      </c>
      <c r="J171" s="670"/>
      <c r="K171" s="670"/>
      <c r="L171" s="668">
        <f t="shared" si="51"/>
        <v>0</v>
      </c>
      <c r="M171" s="648">
        <f t="shared" si="52"/>
        <v>0</v>
      </c>
      <c r="N171" s="33"/>
      <c r="O171" s="33"/>
      <c r="P171" s="704" t="s">
        <v>1331</v>
      </c>
      <c r="Q171" s="703">
        <v>0</v>
      </c>
      <c r="R171" s="703">
        <v>0</v>
      </c>
      <c r="S171" s="703">
        <v>0</v>
      </c>
      <c r="T171" s="703">
        <v>0</v>
      </c>
      <c r="U171" s="703">
        <v>0</v>
      </c>
      <c r="V171" s="703">
        <v>0</v>
      </c>
      <c r="W171" s="703">
        <v>0</v>
      </c>
      <c r="X171" s="703">
        <v>0</v>
      </c>
      <c r="Y171" s="703">
        <v>0</v>
      </c>
      <c r="Z171" s="703">
        <v>0</v>
      </c>
      <c r="AA171" s="703">
        <v>0</v>
      </c>
      <c r="AB171" s="703">
        <v>0</v>
      </c>
      <c r="AC171" s="702">
        <v>0</v>
      </c>
      <c r="AD171" s="702">
        <v>0</v>
      </c>
      <c r="AE171" s="702">
        <v>0</v>
      </c>
      <c r="AF171" s="703">
        <v>0</v>
      </c>
      <c r="AG171" s="703">
        <v>0</v>
      </c>
      <c r="AH171" s="703">
        <v>0</v>
      </c>
    </row>
    <row r="172" spans="1:36" ht="14">
      <c r="A172" s="650" t="s">
        <v>1332</v>
      </c>
      <c r="B172" s="668">
        <f t="shared" si="43"/>
        <v>0</v>
      </c>
      <c r="C172" s="669">
        <f t="shared" si="44"/>
        <v>0</v>
      </c>
      <c r="D172" s="668">
        <f t="shared" si="45"/>
        <v>0</v>
      </c>
      <c r="E172" s="669">
        <f t="shared" si="46"/>
        <v>0</v>
      </c>
      <c r="F172" s="668">
        <f t="shared" si="47"/>
        <v>0</v>
      </c>
      <c r="G172" s="669">
        <f t="shared" si="48"/>
        <v>0</v>
      </c>
      <c r="H172" s="668">
        <f t="shared" si="49"/>
        <v>0</v>
      </c>
      <c r="I172" s="669">
        <f t="shared" si="50"/>
        <v>0</v>
      </c>
      <c r="J172" s="670"/>
      <c r="K172" s="670"/>
      <c r="L172" s="668">
        <f t="shared" si="51"/>
        <v>0</v>
      </c>
      <c r="M172" s="648">
        <f t="shared" si="52"/>
        <v>0</v>
      </c>
      <c r="N172" s="33"/>
      <c r="O172" s="33"/>
      <c r="P172" s="704" t="s">
        <v>1332</v>
      </c>
      <c r="Q172" s="703">
        <v>0</v>
      </c>
      <c r="R172" s="703">
        <v>0</v>
      </c>
      <c r="S172" s="703">
        <v>0</v>
      </c>
      <c r="T172" s="703">
        <v>0</v>
      </c>
      <c r="U172" s="703">
        <v>0</v>
      </c>
      <c r="V172" s="703">
        <v>0</v>
      </c>
      <c r="W172" s="703">
        <v>0</v>
      </c>
      <c r="X172" s="703">
        <v>0</v>
      </c>
      <c r="Y172" s="703">
        <v>0</v>
      </c>
      <c r="Z172" s="703">
        <v>0</v>
      </c>
      <c r="AA172" s="703">
        <v>0</v>
      </c>
      <c r="AB172" s="703">
        <v>0</v>
      </c>
      <c r="AC172" s="702">
        <v>0</v>
      </c>
      <c r="AD172" s="702">
        <v>0</v>
      </c>
      <c r="AE172" s="702">
        <v>0</v>
      </c>
      <c r="AF172" s="703">
        <v>0</v>
      </c>
      <c r="AG172" s="703">
        <v>0</v>
      </c>
      <c r="AH172" s="703">
        <v>0</v>
      </c>
    </row>
    <row r="173" spans="1:36" ht="14">
      <c r="A173" s="650" t="s">
        <v>1333</v>
      </c>
      <c r="B173" s="668">
        <f t="shared" si="43"/>
        <v>0</v>
      </c>
      <c r="C173" s="669">
        <f t="shared" si="44"/>
        <v>0</v>
      </c>
      <c r="D173" s="668">
        <f t="shared" si="45"/>
        <v>0</v>
      </c>
      <c r="E173" s="669">
        <f t="shared" si="46"/>
        <v>0</v>
      </c>
      <c r="F173" s="668">
        <f t="shared" si="47"/>
        <v>0</v>
      </c>
      <c r="G173" s="669">
        <f t="shared" si="48"/>
        <v>0</v>
      </c>
      <c r="H173" s="668">
        <f t="shared" si="49"/>
        <v>0</v>
      </c>
      <c r="I173" s="669">
        <f t="shared" si="50"/>
        <v>0</v>
      </c>
      <c r="J173" s="670"/>
      <c r="K173" s="670"/>
      <c r="L173" s="668">
        <f t="shared" si="51"/>
        <v>0</v>
      </c>
      <c r="M173" s="648">
        <f t="shared" si="52"/>
        <v>0</v>
      </c>
      <c r="N173" s="33"/>
      <c r="O173" s="33"/>
      <c r="P173" s="704" t="s">
        <v>1333</v>
      </c>
      <c r="Q173" s="703">
        <v>0</v>
      </c>
      <c r="R173" s="703">
        <v>0</v>
      </c>
      <c r="S173" s="703">
        <v>0</v>
      </c>
      <c r="T173" s="703">
        <v>0</v>
      </c>
      <c r="U173" s="703">
        <v>0</v>
      </c>
      <c r="V173" s="703">
        <v>0</v>
      </c>
      <c r="W173" s="703">
        <v>0</v>
      </c>
      <c r="X173" s="703">
        <v>0</v>
      </c>
      <c r="Y173" s="703">
        <v>0</v>
      </c>
      <c r="Z173" s="703">
        <v>0</v>
      </c>
      <c r="AA173" s="703">
        <v>0</v>
      </c>
      <c r="AB173" s="703">
        <v>0</v>
      </c>
      <c r="AC173" s="702">
        <v>0</v>
      </c>
      <c r="AD173" s="702">
        <v>0</v>
      </c>
      <c r="AE173" s="702">
        <v>0</v>
      </c>
      <c r="AF173" s="703">
        <v>0</v>
      </c>
      <c r="AG173" s="703">
        <v>0</v>
      </c>
      <c r="AH173" s="703">
        <v>0</v>
      </c>
    </row>
    <row r="174" spans="1:36" ht="14">
      <c r="A174" s="650" t="s">
        <v>1334</v>
      </c>
      <c r="B174" s="668">
        <f t="shared" si="43"/>
        <v>0</v>
      </c>
      <c r="C174" s="669">
        <f t="shared" si="44"/>
        <v>0</v>
      </c>
      <c r="D174" s="668">
        <f t="shared" si="45"/>
        <v>0</v>
      </c>
      <c r="E174" s="669">
        <f t="shared" si="46"/>
        <v>0</v>
      </c>
      <c r="F174" s="668">
        <f t="shared" si="47"/>
        <v>0</v>
      </c>
      <c r="G174" s="669">
        <f t="shared" si="48"/>
        <v>0</v>
      </c>
      <c r="H174" s="668">
        <f t="shared" si="49"/>
        <v>0</v>
      </c>
      <c r="I174" s="669">
        <f t="shared" si="50"/>
        <v>0</v>
      </c>
      <c r="J174" s="670"/>
      <c r="K174" s="670"/>
      <c r="L174" s="668">
        <f t="shared" si="51"/>
        <v>0</v>
      </c>
      <c r="M174" s="648">
        <f t="shared" si="52"/>
        <v>0</v>
      </c>
      <c r="N174" s="33"/>
      <c r="O174" s="33"/>
      <c r="P174" s="704" t="s">
        <v>1334</v>
      </c>
      <c r="Q174" s="703">
        <v>0</v>
      </c>
      <c r="R174" s="703">
        <v>0</v>
      </c>
      <c r="S174" s="703">
        <v>0</v>
      </c>
      <c r="T174" s="703">
        <v>0</v>
      </c>
      <c r="U174" s="703">
        <v>0</v>
      </c>
      <c r="V174" s="703">
        <v>0</v>
      </c>
      <c r="W174" s="703">
        <v>0</v>
      </c>
      <c r="X174" s="703">
        <v>0</v>
      </c>
      <c r="Y174" s="703">
        <v>0</v>
      </c>
      <c r="Z174" s="703">
        <v>0</v>
      </c>
      <c r="AA174" s="703">
        <v>0</v>
      </c>
      <c r="AB174" s="703">
        <v>0</v>
      </c>
      <c r="AC174" s="702">
        <v>0</v>
      </c>
      <c r="AD174" s="702">
        <v>0</v>
      </c>
      <c r="AE174" s="702">
        <v>0</v>
      </c>
      <c r="AF174" s="703">
        <v>0</v>
      </c>
      <c r="AG174" s="703">
        <v>0</v>
      </c>
      <c r="AH174" s="703">
        <v>0</v>
      </c>
    </row>
    <row r="175" spans="1:36" ht="14">
      <c r="A175" s="650" t="s">
        <v>1335</v>
      </c>
      <c r="B175" s="668">
        <f t="shared" si="43"/>
        <v>0</v>
      </c>
      <c r="C175" s="669">
        <f t="shared" si="44"/>
        <v>0</v>
      </c>
      <c r="D175" s="668">
        <f t="shared" si="45"/>
        <v>0</v>
      </c>
      <c r="E175" s="669">
        <f t="shared" si="46"/>
        <v>0</v>
      </c>
      <c r="F175" s="668">
        <f t="shared" si="47"/>
        <v>0</v>
      </c>
      <c r="G175" s="669">
        <f t="shared" si="48"/>
        <v>0</v>
      </c>
      <c r="H175" s="668">
        <f t="shared" si="49"/>
        <v>0</v>
      </c>
      <c r="I175" s="669">
        <f t="shared" si="50"/>
        <v>0</v>
      </c>
      <c r="J175" s="670"/>
      <c r="K175" s="670"/>
      <c r="L175" s="668">
        <f t="shared" si="51"/>
        <v>0</v>
      </c>
      <c r="M175" s="648">
        <f t="shared" si="52"/>
        <v>0</v>
      </c>
      <c r="N175" s="33"/>
      <c r="O175" s="33"/>
      <c r="P175" s="704" t="s">
        <v>1335</v>
      </c>
      <c r="Q175" s="703">
        <v>0</v>
      </c>
      <c r="R175" s="703">
        <v>0</v>
      </c>
      <c r="S175" s="703">
        <v>0</v>
      </c>
      <c r="T175" s="703">
        <v>0</v>
      </c>
      <c r="U175" s="703">
        <v>0</v>
      </c>
      <c r="V175" s="703">
        <v>0</v>
      </c>
      <c r="W175" s="703">
        <v>0</v>
      </c>
      <c r="X175" s="703">
        <v>0</v>
      </c>
      <c r="Y175" s="703">
        <v>0</v>
      </c>
      <c r="Z175" s="703">
        <v>0</v>
      </c>
      <c r="AA175" s="703">
        <v>0</v>
      </c>
      <c r="AB175" s="703">
        <v>0</v>
      </c>
      <c r="AC175" s="702">
        <v>0</v>
      </c>
      <c r="AD175" s="702">
        <v>0</v>
      </c>
      <c r="AE175" s="702">
        <v>0</v>
      </c>
      <c r="AF175" s="703">
        <v>0</v>
      </c>
      <c r="AG175" s="703">
        <v>0</v>
      </c>
      <c r="AH175" s="703">
        <v>0</v>
      </c>
    </row>
    <row r="176" spans="1:36" ht="14">
      <c r="A176" s="652" t="s">
        <v>1336</v>
      </c>
      <c r="B176" s="668">
        <f t="shared" si="43"/>
        <v>0</v>
      </c>
      <c r="C176" s="669">
        <f t="shared" si="44"/>
        <v>0</v>
      </c>
      <c r="D176" s="668">
        <f t="shared" si="45"/>
        <v>0</v>
      </c>
      <c r="E176" s="669">
        <f t="shared" si="46"/>
        <v>0</v>
      </c>
      <c r="F176" s="668">
        <f t="shared" si="47"/>
        <v>0</v>
      </c>
      <c r="G176" s="669">
        <f t="shared" si="48"/>
        <v>0</v>
      </c>
      <c r="H176" s="668">
        <f t="shared" si="49"/>
        <v>0</v>
      </c>
      <c r="I176" s="669">
        <f t="shared" si="50"/>
        <v>0</v>
      </c>
      <c r="J176" s="670"/>
      <c r="K176" s="670"/>
      <c r="L176" s="668">
        <f t="shared" si="51"/>
        <v>0</v>
      </c>
      <c r="M176" s="648">
        <f t="shared" si="52"/>
        <v>0</v>
      </c>
      <c r="N176" s="33"/>
      <c r="O176" s="33"/>
      <c r="P176" s="142" t="s">
        <v>1336</v>
      </c>
      <c r="Q176" s="703">
        <v>4753</v>
      </c>
      <c r="R176" s="703">
        <v>0</v>
      </c>
      <c r="S176" s="703">
        <v>4753</v>
      </c>
      <c r="T176" s="703">
        <v>372</v>
      </c>
      <c r="U176" s="703">
        <v>0</v>
      </c>
      <c r="V176" s="703">
        <v>372</v>
      </c>
      <c r="W176" s="703">
        <v>1250</v>
      </c>
      <c r="X176" s="703">
        <v>0</v>
      </c>
      <c r="Y176" s="703">
        <v>1250</v>
      </c>
      <c r="Z176" s="703">
        <v>0</v>
      </c>
      <c r="AA176" s="703">
        <v>0</v>
      </c>
      <c r="AB176" s="703">
        <v>0</v>
      </c>
      <c r="AC176" s="702">
        <v>3693</v>
      </c>
      <c r="AD176" s="702">
        <v>0</v>
      </c>
      <c r="AE176" s="702">
        <v>3693</v>
      </c>
      <c r="AF176" s="703">
        <v>0</v>
      </c>
      <c r="AG176" s="703">
        <v>0</v>
      </c>
      <c r="AH176" s="703">
        <v>0</v>
      </c>
    </row>
    <row r="177" spans="1:36" ht="14">
      <c r="A177" s="652" t="s">
        <v>1337</v>
      </c>
      <c r="B177" s="668">
        <f t="shared" si="43"/>
        <v>0</v>
      </c>
      <c r="C177" s="669">
        <f t="shared" si="44"/>
        <v>0</v>
      </c>
      <c r="D177" s="668">
        <f t="shared" si="45"/>
        <v>0</v>
      </c>
      <c r="E177" s="669">
        <f t="shared" si="46"/>
        <v>0</v>
      </c>
      <c r="F177" s="668">
        <f t="shared" si="47"/>
        <v>0</v>
      </c>
      <c r="G177" s="669">
        <f t="shared" si="48"/>
        <v>0</v>
      </c>
      <c r="H177" s="668">
        <f t="shared" si="49"/>
        <v>0</v>
      </c>
      <c r="I177" s="669">
        <f t="shared" si="50"/>
        <v>0</v>
      </c>
      <c r="J177" s="670"/>
      <c r="K177" s="670"/>
      <c r="L177" s="668">
        <f t="shared" si="51"/>
        <v>0</v>
      </c>
      <c r="M177" s="648">
        <f t="shared" si="52"/>
        <v>0</v>
      </c>
      <c r="N177" s="33"/>
      <c r="O177" s="33"/>
      <c r="P177" s="142" t="s">
        <v>1337</v>
      </c>
      <c r="Q177" s="703">
        <v>0</v>
      </c>
      <c r="R177" s="703">
        <v>0</v>
      </c>
      <c r="S177" s="703">
        <v>0</v>
      </c>
      <c r="T177" s="703">
        <v>0</v>
      </c>
      <c r="U177" s="703">
        <v>0</v>
      </c>
      <c r="V177" s="703">
        <v>0</v>
      </c>
      <c r="W177" s="703">
        <v>0</v>
      </c>
      <c r="X177" s="703">
        <v>0</v>
      </c>
      <c r="Y177" s="703">
        <v>0</v>
      </c>
      <c r="Z177" s="703">
        <v>0</v>
      </c>
      <c r="AA177" s="703">
        <v>0</v>
      </c>
      <c r="AB177" s="703">
        <v>0</v>
      </c>
      <c r="AC177" s="702">
        <v>0</v>
      </c>
      <c r="AD177" s="702">
        <v>0</v>
      </c>
      <c r="AE177" s="702">
        <v>0</v>
      </c>
      <c r="AF177" s="703">
        <v>0</v>
      </c>
      <c r="AG177" s="703">
        <v>0</v>
      </c>
      <c r="AH177" s="703">
        <v>0</v>
      </c>
    </row>
    <row r="178" spans="1:36" ht="14">
      <c r="A178" s="650" t="s">
        <v>1338</v>
      </c>
      <c r="B178" s="668">
        <f t="shared" si="43"/>
        <v>0</v>
      </c>
      <c r="C178" s="669">
        <f t="shared" si="44"/>
        <v>0</v>
      </c>
      <c r="D178" s="668">
        <f t="shared" si="45"/>
        <v>0</v>
      </c>
      <c r="E178" s="669">
        <f t="shared" si="46"/>
        <v>0</v>
      </c>
      <c r="F178" s="668">
        <f t="shared" si="47"/>
        <v>0</v>
      </c>
      <c r="G178" s="669">
        <f t="shared" si="48"/>
        <v>0</v>
      </c>
      <c r="H178" s="668">
        <f t="shared" si="49"/>
        <v>0</v>
      </c>
      <c r="I178" s="669">
        <f t="shared" si="50"/>
        <v>0</v>
      </c>
      <c r="J178" s="670"/>
      <c r="K178" s="670"/>
      <c r="L178" s="668">
        <f t="shared" si="51"/>
        <v>0</v>
      </c>
      <c r="M178" s="648">
        <f t="shared" si="52"/>
        <v>0</v>
      </c>
      <c r="N178" s="33"/>
      <c r="O178" s="33"/>
      <c r="P178" s="704" t="s">
        <v>1338</v>
      </c>
      <c r="Q178" s="703">
        <v>0</v>
      </c>
      <c r="R178" s="703">
        <v>0</v>
      </c>
      <c r="S178" s="703">
        <v>0</v>
      </c>
      <c r="T178" s="703">
        <v>0</v>
      </c>
      <c r="U178" s="703">
        <v>0</v>
      </c>
      <c r="V178" s="703">
        <v>0</v>
      </c>
      <c r="W178" s="703">
        <v>0</v>
      </c>
      <c r="X178" s="703">
        <v>0</v>
      </c>
      <c r="Y178" s="703">
        <v>0</v>
      </c>
      <c r="Z178" s="703">
        <v>0</v>
      </c>
      <c r="AA178" s="703">
        <v>0</v>
      </c>
      <c r="AB178" s="703">
        <v>0</v>
      </c>
      <c r="AC178" s="702">
        <v>0</v>
      </c>
      <c r="AD178" s="702">
        <v>0</v>
      </c>
      <c r="AE178" s="702">
        <v>0</v>
      </c>
      <c r="AF178" s="703">
        <v>0</v>
      </c>
      <c r="AG178" s="703">
        <v>0</v>
      </c>
      <c r="AH178" s="703">
        <v>0</v>
      </c>
    </row>
    <row r="179" spans="1:36" ht="14">
      <c r="A179" s="650" t="s">
        <v>1339</v>
      </c>
      <c r="B179" s="668">
        <f t="shared" si="43"/>
        <v>0</v>
      </c>
      <c r="C179" s="669">
        <f t="shared" si="44"/>
        <v>0</v>
      </c>
      <c r="D179" s="668">
        <f t="shared" si="45"/>
        <v>0</v>
      </c>
      <c r="E179" s="669">
        <f t="shared" si="46"/>
        <v>0</v>
      </c>
      <c r="F179" s="668">
        <f t="shared" si="47"/>
        <v>0</v>
      </c>
      <c r="G179" s="669">
        <f t="shared" si="48"/>
        <v>0</v>
      </c>
      <c r="H179" s="668">
        <f t="shared" si="49"/>
        <v>0</v>
      </c>
      <c r="I179" s="669">
        <f t="shared" si="50"/>
        <v>0</v>
      </c>
      <c r="J179" s="670"/>
      <c r="K179" s="670"/>
      <c r="L179" s="668">
        <f t="shared" si="51"/>
        <v>0</v>
      </c>
      <c r="M179" s="648">
        <f t="shared" si="52"/>
        <v>0</v>
      </c>
      <c r="N179" s="33"/>
      <c r="O179" s="33"/>
      <c r="P179" s="704" t="s">
        <v>1339</v>
      </c>
      <c r="Q179" s="703">
        <v>0</v>
      </c>
      <c r="R179" s="703">
        <v>0</v>
      </c>
      <c r="S179" s="703">
        <v>0</v>
      </c>
      <c r="T179" s="703">
        <v>0</v>
      </c>
      <c r="U179" s="703">
        <v>0</v>
      </c>
      <c r="V179" s="703">
        <v>0</v>
      </c>
      <c r="W179" s="703">
        <v>0</v>
      </c>
      <c r="X179" s="703">
        <v>0</v>
      </c>
      <c r="Y179" s="703">
        <v>0</v>
      </c>
      <c r="Z179" s="703">
        <v>0</v>
      </c>
      <c r="AA179" s="703">
        <v>0</v>
      </c>
      <c r="AB179" s="703">
        <v>0</v>
      </c>
      <c r="AC179" s="702">
        <v>208264</v>
      </c>
      <c r="AD179" s="702">
        <v>0</v>
      </c>
      <c r="AE179" s="702">
        <v>208264</v>
      </c>
      <c r="AF179" s="703">
        <v>0</v>
      </c>
      <c r="AG179" s="703">
        <v>0</v>
      </c>
      <c r="AH179" s="703">
        <v>0</v>
      </c>
    </row>
    <row r="180" spans="1:36" ht="14">
      <c r="A180" s="650" t="s">
        <v>1340</v>
      </c>
      <c r="B180" s="668">
        <f t="shared" si="43"/>
        <v>0</v>
      </c>
      <c r="C180" s="669">
        <f t="shared" si="44"/>
        <v>0</v>
      </c>
      <c r="D180" s="668">
        <f t="shared" si="45"/>
        <v>0</v>
      </c>
      <c r="E180" s="669">
        <f t="shared" si="46"/>
        <v>0</v>
      </c>
      <c r="F180" s="668">
        <f t="shared" si="47"/>
        <v>0</v>
      </c>
      <c r="G180" s="669">
        <f t="shared" si="48"/>
        <v>0</v>
      </c>
      <c r="H180" s="668">
        <f t="shared" si="49"/>
        <v>0</v>
      </c>
      <c r="I180" s="669">
        <f t="shared" si="50"/>
        <v>0</v>
      </c>
      <c r="J180" s="670"/>
      <c r="K180" s="670"/>
      <c r="L180" s="668">
        <f t="shared" si="51"/>
        <v>0</v>
      </c>
      <c r="M180" s="648">
        <f t="shared" si="52"/>
        <v>0</v>
      </c>
      <c r="N180" s="33"/>
      <c r="O180" s="33"/>
      <c r="P180" s="704" t="s">
        <v>1340</v>
      </c>
      <c r="Q180" s="703">
        <v>0</v>
      </c>
      <c r="R180" s="703">
        <v>0</v>
      </c>
      <c r="S180" s="703">
        <v>0</v>
      </c>
      <c r="T180" s="703">
        <v>0</v>
      </c>
      <c r="U180" s="703">
        <v>0</v>
      </c>
      <c r="V180" s="703">
        <v>0</v>
      </c>
      <c r="W180" s="703">
        <v>0</v>
      </c>
      <c r="X180" s="703">
        <v>0</v>
      </c>
      <c r="Y180" s="703">
        <v>0</v>
      </c>
      <c r="Z180" s="703">
        <v>0</v>
      </c>
      <c r="AA180" s="703">
        <v>0</v>
      </c>
      <c r="AB180" s="703">
        <v>0</v>
      </c>
      <c r="AC180" s="702">
        <v>0</v>
      </c>
      <c r="AD180" s="702">
        <v>0</v>
      </c>
      <c r="AE180" s="702">
        <v>0</v>
      </c>
      <c r="AF180" s="703">
        <v>0</v>
      </c>
      <c r="AG180" s="703">
        <v>0</v>
      </c>
      <c r="AH180" s="703">
        <v>0</v>
      </c>
    </row>
    <row r="181" spans="1:36" ht="14">
      <c r="A181" s="650" t="s">
        <v>1341</v>
      </c>
      <c r="B181" s="668">
        <f t="shared" si="43"/>
        <v>0</v>
      </c>
      <c r="C181" s="669">
        <f t="shared" si="44"/>
        <v>0</v>
      </c>
      <c r="D181" s="668">
        <f t="shared" si="45"/>
        <v>0</v>
      </c>
      <c r="E181" s="669">
        <f t="shared" si="46"/>
        <v>0</v>
      </c>
      <c r="F181" s="668">
        <f t="shared" si="47"/>
        <v>0</v>
      </c>
      <c r="G181" s="669">
        <f t="shared" si="48"/>
        <v>0</v>
      </c>
      <c r="H181" s="668">
        <f t="shared" si="49"/>
        <v>0</v>
      </c>
      <c r="I181" s="669">
        <f t="shared" si="50"/>
        <v>0</v>
      </c>
      <c r="J181" s="670"/>
      <c r="K181" s="670"/>
      <c r="L181" s="668">
        <f t="shared" si="51"/>
        <v>0</v>
      </c>
      <c r="M181" s="648">
        <f t="shared" si="52"/>
        <v>0</v>
      </c>
      <c r="N181" s="33"/>
      <c r="O181" s="33"/>
      <c r="P181" s="704" t="s">
        <v>1341</v>
      </c>
      <c r="Q181" s="703">
        <v>0</v>
      </c>
      <c r="R181" s="703">
        <v>0</v>
      </c>
      <c r="S181" s="703">
        <v>0</v>
      </c>
      <c r="T181" s="703">
        <v>0</v>
      </c>
      <c r="U181" s="703">
        <v>0</v>
      </c>
      <c r="V181" s="703">
        <v>0</v>
      </c>
      <c r="W181" s="703">
        <v>0</v>
      </c>
      <c r="X181" s="703">
        <v>0</v>
      </c>
      <c r="Y181" s="703">
        <v>0</v>
      </c>
      <c r="Z181" s="703">
        <v>0</v>
      </c>
      <c r="AA181" s="703">
        <v>0</v>
      </c>
      <c r="AB181" s="703">
        <v>0</v>
      </c>
      <c r="AC181" s="702">
        <v>0</v>
      </c>
      <c r="AD181" s="702">
        <v>0</v>
      </c>
      <c r="AE181" s="702">
        <v>0</v>
      </c>
      <c r="AF181" s="703">
        <v>0</v>
      </c>
      <c r="AG181" s="703">
        <v>0</v>
      </c>
      <c r="AH181" s="703">
        <v>0</v>
      </c>
    </row>
    <row r="182" spans="1:36" ht="14">
      <c r="A182" s="650" t="s">
        <v>1342</v>
      </c>
      <c r="B182" s="668">
        <f t="shared" si="43"/>
        <v>0</v>
      </c>
      <c r="C182" s="669">
        <f t="shared" si="44"/>
        <v>0</v>
      </c>
      <c r="D182" s="668">
        <f t="shared" si="45"/>
        <v>0</v>
      </c>
      <c r="E182" s="669">
        <f t="shared" si="46"/>
        <v>0</v>
      </c>
      <c r="F182" s="668">
        <f t="shared" si="47"/>
        <v>0</v>
      </c>
      <c r="G182" s="669">
        <f t="shared" si="48"/>
        <v>0</v>
      </c>
      <c r="H182" s="668">
        <f t="shared" si="49"/>
        <v>0</v>
      </c>
      <c r="I182" s="669">
        <f t="shared" si="50"/>
        <v>0</v>
      </c>
      <c r="J182" s="670"/>
      <c r="K182" s="670"/>
      <c r="L182" s="668">
        <f t="shared" si="51"/>
        <v>0</v>
      </c>
      <c r="M182" s="648">
        <f t="shared" si="52"/>
        <v>0</v>
      </c>
      <c r="N182" s="33"/>
      <c r="O182" s="33"/>
      <c r="P182" s="704" t="s">
        <v>1342</v>
      </c>
      <c r="Q182" s="703">
        <v>0</v>
      </c>
      <c r="R182" s="703">
        <v>0</v>
      </c>
      <c r="S182" s="703">
        <v>0</v>
      </c>
      <c r="T182" s="703">
        <v>0</v>
      </c>
      <c r="U182" s="703">
        <v>0</v>
      </c>
      <c r="V182" s="703">
        <v>0</v>
      </c>
      <c r="W182" s="703">
        <v>0</v>
      </c>
      <c r="X182" s="703">
        <v>0</v>
      </c>
      <c r="Y182" s="703">
        <v>0</v>
      </c>
      <c r="Z182" s="703">
        <v>0</v>
      </c>
      <c r="AA182" s="703">
        <v>0</v>
      </c>
      <c r="AB182" s="703">
        <v>0</v>
      </c>
      <c r="AC182" s="702">
        <v>0</v>
      </c>
      <c r="AD182" s="702">
        <v>0</v>
      </c>
      <c r="AE182" s="702">
        <v>0</v>
      </c>
      <c r="AF182" s="703">
        <v>0</v>
      </c>
      <c r="AG182" s="703">
        <v>0</v>
      </c>
      <c r="AH182" s="703">
        <v>0</v>
      </c>
    </row>
    <row r="183" spans="1:36" ht="14">
      <c r="A183" s="650" t="s">
        <v>1343</v>
      </c>
      <c r="B183" s="668">
        <f t="shared" si="43"/>
        <v>0</v>
      </c>
      <c r="C183" s="669">
        <f t="shared" si="44"/>
        <v>0</v>
      </c>
      <c r="D183" s="668">
        <f t="shared" si="45"/>
        <v>0</v>
      </c>
      <c r="E183" s="669">
        <f t="shared" si="46"/>
        <v>0</v>
      </c>
      <c r="F183" s="668">
        <f t="shared" si="47"/>
        <v>0</v>
      </c>
      <c r="G183" s="669">
        <f t="shared" si="48"/>
        <v>0</v>
      </c>
      <c r="H183" s="668">
        <f t="shared" si="49"/>
        <v>0</v>
      </c>
      <c r="I183" s="669">
        <f t="shared" si="50"/>
        <v>0</v>
      </c>
      <c r="J183" s="670"/>
      <c r="K183" s="670"/>
      <c r="L183" s="668">
        <f t="shared" si="51"/>
        <v>0</v>
      </c>
      <c r="M183" s="648">
        <f t="shared" si="52"/>
        <v>0</v>
      </c>
      <c r="N183" s="33"/>
      <c r="O183" s="33"/>
      <c r="P183" s="704" t="s">
        <v>1343</v>
      </c>
      <c r="Q183" s="703">
        <v>0</v>
      </c>
      <c r="R183" s="703">
        <v>0</v>
      </c>
      <c r="S183" s="703">
        <v>0</v>
      </c>
      <c r="T183" s="703">
        <v>0</v>
      </c>
      <c r="U183" s="703">
        <v>0</v>
      </c>
      <c r="V183" s="703">
        <v>0</v>
      </c>
      <c r="W183" s="703">
        <v>0</v>
      </c>
      <c r="X183" s="703">
        <v>0</v>
      </c>
      <c r="Y183" s="703">
        <v>0</v>
      </c>
      <c r="Z183" s="703">
        <v>0</v>
      </c>
      <c r="AA183" s="703">
        <v>0</v>
      </c>
      <c r="AB183" s="703">
        <v>0</v>
      </c>
      <c r="AC183" s="702">
        <v>0</v>
      </c>
      <c r="AD183" s="702">
        <v>0</v>
      </c>
      <c r="AE183" s="702">
        <v>0</v>
      </c>
      <c r="AF183" s="703">
        <v>0</v>
      </c>
      <c r="AG183" s="703">
        <v>0</v>
      </c>
      <c r="AH183" s="703">
        <v>0</v>
      </c>
    </row>
    <row r="184" spans="1:36" ht="14">
      <c r="A184" s="188" t="s">
        <v>1344</v>
      </c>
      <c r="B184" s="668">
        <f t="shared" si="43"/>
        <v>0</v>
      </c>
      <c r="C184" s="669">
        <f t="shared" si="44"/>
        <v>0</v>
      </c>
      <c r="D184" s="668">
        <f t="shared" si="45"/>
        <v>0</v>
      </c>
      <c r="E184" s="669">
        <f t="shared" si="46"/>
        <v>0</v>
      </c>
      <c r="F184" s="668">
        <f t="shared" si="47"/>
        <v>0</v>
      </c>
      <c r="G184" s="669">
        <f t="shared" si="48"/>
        <v>0</v>
      </c>
      <c r="H184" s="668">
        <f t="shared" si="49"/>
        <v>0</v>
      </c>
      <c r="I184" s="669">
        <f t="shared" si="50"/>
        <v>0</v>
      </c>
      <c r="J184" s="670"/>
      <c r="K184" s="670"/>
      <c r="L184" s="668">
        <f t="shared" si="51"/>
        <v>0</v>
      </c>
      <c r="M184" s="648">
        <f t="shared" si="52"/>
        <v>0</v>
      </c>
      <c r="N184" s="33"/>
      <c r="P184" s="188" t="s">
        <v>1344</v>
      </c>
      <c r="Q184" s="703">
        <v>6295</v>
      </c>
      <c r="R184" s="703">
        <v>0</v>
      </c>
      <c r="S184" s="703">
        <v>6295</v>
      </c>
      <c r="T184" s="703">
        <v>4917</v>
      </c>
      <c r="U184" s="703">
        <v>62237</v>
      </c>
      <c r="V184" s="703">
        <v>67154</v>
      </c>
      <c r="W184" s="703">
        <v>0</v>
      </c>
      <c r="X184" s="703">
        <v>0</v>
      </c>
      <c r="Y184" s="703">
        <v>0</v>
      </c>
      <c r="Z184" s="703">
        <v>0</v>
      </c>
      <c r="AA184" s="703">
        <v>0</v>
      </c>
      <c r="AB184" s="703">
        <v>0</v>
      </c>
      <c r="AC184" s="702">
        <v>63891</v>
      </c>
      <c r="AD184" s="702">
        <v>73759</v>
      </c>
      <c r="AE184" s="702">
        <v>137650</v>
      </c>
      <c r="AF184" s="703">
        <v>0</v>
      </c>
      <c r="AG184" s="703">
        <v>0</v>
      </c>
      <c r="AH184" s="703">
        <v>0</v>
      </c>
    </row>
    <row r="185" spans="1:36" ht="14">
      <c r="A185" s="650" t="s">
        <v>1345</v>
      </c>
      <c r="B185" s="668">
        <f t="shared" si="43"/>
        <v>0</v>
      </c>
      <c r="C185" s="669">
        <f t="shared" si="44"/>
        <v>0</v>
      </c>
      <c r="D185" s="668">
        <f t="shared" si="45"/>
        <v>0</v>
      </c>
      <c r="E185" s="669">
        <f t="shared" si="46"/>
        <v>0</v>
      </c>
      <c r="F185" s="668">
        <f t="shared" si="47"/>
        <v>0</v>
      </c>
      <c r="G185" s="669">
        <f t="shared" si="48"/>
        <v>0</v>
      </c>
      <c r="H185" s="668">
        <f t="shared" si="49"/>
        <v>0</v>
      </c>
      <c r="I185" s="669">
        <f t="shared" si="50"/>
        <v>0</v>
      </c>
      <c r="J185" s="670"/>
      <c r="K185" s="670"/>
      <c r="L185" s="668">
        <f t="shared" si="51"/>
        <v>0</v>
      </c>
      <c r="M185" s="648">
        <f t="shared" si="52"/>
        <v>0</v>
      </c>
      <c r="N185" s="33"/>
      <c r="P185" s="704" t="s">
        <v>1345</v>
      </c>
      <c r="Q185" s="703">
        <v>0</v>
      </c>
      <c r="R185" s="703">
        <v>0</v>
      </c>
      <c r="S185" s="703">
        <v>0</v>
      </c>
      <c r="T185" s="703">
        <v>0</v>
      </c>
      <c r="U185" s="703">
        <v>0</v>
      </c>
      <c r="V185" s="703">
        <v>0</v>
      </c>
      <c r="W185" s="703">
        <v>0</v>
      </c>
      <c r="X185" s="703">
        <v>0</v>
      </c>
      <c r="Y185" s="703">
        <v>0</v>
      </c>
      <c r="Z185" s="703">
        <v>0</v>
      </c>
      <c r="AA185" s="703">
        <v>0</v>
      </c>
      <c r="AB185" s="703">
        <v>0</v>
      </c>
      <c r="AC185" s="702">
        <v>0</v>
      </c>
      <c r="AD185" s="702">
        <v>0</v>
      </c>
      <c r="AE185" s="702">
        <v>0</v>
      </c>
      <c r="AF185" s="703">
        <v>0</v>
      </c>
      <c r="AG185" s="703">
        <v>0</v>
      </c>
      <c r="AH185" s="703">
        <v>0</v>
      </c>
    </row>
    <row r="186" spans="1:36" ht="14">
      <c r="A186" s="650" t="s">
        <v>1346</v>
      </c>
      <c r="B186" s="668">
        <f t="shared" si="43"/>
        <v>0</v>
      </c>
      <c r="C186" s="669">
        <f t="shared" si="44"/>
        <v>0</v>
      </c>
      <c r="D186" s="668">
        <f t="shared" si="45"/>
        <v>0</v>
      </c>
      <c r="E186" s="669">
        <f t="shared" si="46"/>
        <v>0</v>
      </c>
      <c r="F186" s="668">
        <f t="shared" si="47"/>
        <v>0</v>
      </c>
      <c r="G186" s="669">
        <f t="shared" si="48"/>
        <v>0</v>
      </c>
      <c r="H186" s="668">
        <f t="shared" si="49"/>
        <v>0</v>
      </c>
      <c r="I186" s="669">
        <f t="shared" si="50"/>
        <v>0</v>
      </c>
      <c r="J186" s="670"/>
      <c r="K186" s="670"/>
      <c r="L186" s="668">
        <f t="shared" si="51"/>
        <v>0</v>
      </c>
      <c r="M186" s="648">
        <f t="shared" si="52"/>
        <v>0</v>
      </c>
      <c r="N186" s="33"/>
      <c r="P186" s="704" t="s">
        <v>1346</v>
      </c>
      <c r="Q186" s="703">
        <v>8028</v>
      </c>
      <c r="R186" s="703">
        <v>2824</v>
      </c>
      <c r="S186" s="703">
        <v>10852</v>
      </c>
      <c r="T186" s="703">
        <v>8381</v>
      </c>
      <c r="U186" s="703">
        <v>2970</v>
      </c>
      <c r="V186" s="703">
        <v>11351</v>
      </c>
      <c r="W186" s="703">
        <v>0</v>
      </c>
      <c r="X186" s="703">
        <v>0</v>
      </c>
      <c r="Y186" s="703">
        <v>0</v>
      </c>
      <c r="Z186" s="703">
        <v>0</v>
      </c>
      <c r="AA186" s="703">
        <v>0</v>
      </c>
      <c r="AB186" s="703">
        <v>0</v>
      </c>
      <c r="AC186" s="702">
        <v>166160</v>
      </c>
      <c r="AD186" s="702">
        <v>2562</v>
      </c>
      <c r="AE186" s="702">
        <v>168722</v>
      </c>
      <c r="AF186" s="703">
        <v>0</v>
      </c>
      <c r="AG186" s="703">
        <v>0</v>
      </c>
      <c r="AH186" s="703">
        <v>0</v>
      </c>
    </row>
    <row r="187" spans="1:36" ht="14">
      <c r="A187" s="662" t="s">
        <v>1347</v>
      </c>
      <c r="B187" s="668">
        <f t="shared" si="43"/>
        <v>0</v>
      </c>
      <c r="C187" s="669">
        <f t="shared" si="44"/>
        <v>0</v>
      </c>
      <c r="D187" s="668">
        <f t="shared" si="45"/>
        <v>0</v>
      </c>
      <c r="E187" s="669">
        <f t="shared" si="46"/>
        <v>0</v>
      </c>
      <c r="F187" s="668">
        <f t="shared" si="47"/>
        <v>0</v>
      </c>
      <c r="G187" s="669">
        <f t="shared" si="48"/>
        <v>0</v>
      </c>
      <c r="H187" s="668">
        <f t="shared" si="49"/>
        <v>0</v>
      </c>
      <c r="I187" s="669">
        <f t="shared" si="50"/>
        <v>0</v>
      </c>
      <c r="J187" s="670"/>
      <c r="K187" s="670"/>
      <c r="L187" s="668">
        <f t="shared" si="51"/>
        <v>0</v>
      </c>
      <c r="M187" s="648">
        <f t="shared" si="52"/>
        <v>0</v>
      </c>
      <c r="N187" s="33"/>
      <c r="P187" s="704" t="s">
        <v>1347</v>
      </c>
      <c r="Q187" s="703">
        <v>0</v>
      </c>
      <c r="R187" s="703">
        <v>0</v>
      </c>
      <c r="S187" s="703">
        <v>0</v>
      </c>
      <c r="T187" s="703">
        <v>0</v>
      </c>
      <c r="U187" s="703">
        <v>0</v>
      </c>
      <c r="V187" s="703">
        <v>0</v>
      </c>
      <c r="W187" s="703">
        <v>0</v>
      </c>
      <c r="X187" s="703">
        <v>0</v>
      </c>
      <c r="Y187" s="703">
        <v>0</v>
      </c>
      <c r="Z187" s="703">
        <v>0</v>
      </c>
      <c r="AA187" s="703">
        <v>0</v>
      </c>
      <c r="AB187" s="703">
        <v>0</v>
      </c>
      <c r="AC187" s="702">
        <v>0</v>
      </c>
      <c r="AD187" s="702">
        <v>0</v>
      </c>
      <c r="AE187" s="702">
        <v>0</v>
      </c>
      <c r="AF187" s="703">
        <v>0</v>
      </c>
      <c r="AG187" s="703">
        <v>0</v>
      </c>
      <c r="AH187" s="703">
        <v>0</v>
      </c>
    </row>
    <row r="188" spans="1:36" ht="14">
      <c r="A188" s="655"/>
      <c r="B188" s="672"/>
      <c r="C188" s="672"/>
      <c r="D188" s="672"/>
      <c r="E188" s="672"/>
      <c r="F188" s="672"/>
      <c r="G188" s="672"/>
      <c r="H188" s="672"/>
      <c r="I188" s="672"/>
      <c r="J188" s="673"/>
      <c r="K188" s="673"/>
      <c r="L188" s="672"/>
      <c r="M188" s="656"/>
      <c r="N188" s="33"/>
      <c r="P188" s="705" t="s">
        <v>196</v>
      </c>
      <c r="Q188" s="706">
        <v>19076</v>
      </c>
      <c r="R188" s="706">
        <v>2824</v>
      </c>
      <c r="S188" s="706">
        <v>21900</v>
      </c>
      <c r="T188" s="706">
        <v>13670</v>
      </c>
      <c r="U188" s="706">
        <v>65207</v>
      </c>
      <c r="V188" s="706">
        <v>78877</v>
      </c>
      <c r="W188" s="706">
        <v>1250</v>
      </c>
      <c r="X188" s="706">
        <v>0</v>
      </c>
      <c r="Y188" s="706">
        <v>1250</v>
      </c>
      <c r="Z188" s="706">
        <v>0</v>
      </c>
      <c r="AA188" s="706">
        <v>0</v>
      </c>
      <c r="AB188" s="706">
        <v>0</v>
      </c>
      <c r="AC188" s="706">
        <v>442008</v>
      </c>
      <c r="AD188" s="706">
        <v>76321</v>
      </c>
      <c r="AE188" s="706">
        <v>518329</v>
      </c>
      <c r="AF188" s="706">
        <v>0</v>
      </c>
      <c r="AG188" s="706">
        <v>0</v>
      </c>
      <c r="AH188" s="706">
        <v>0</v>
      </c>
      <c r="AI188" s="140">
        <f>S188+V188+Y188+AB188+AE188+AH188</f>
        <v>620356</v>
      </c>
      <c r="AJ188" s="654"/>
    </row>
    <row r="189" spans="1:36" ht="14">
      <c r="B189" s="666"/>
      <c r="C189" s="666"/>
      <c r="D189" s="666"/>
      <c r="E189" s="666"/>
      <c r="I189" s="666"/>
      <c r="J189" s="666"/>
      <c r="K189" s="666"/>
      <c r="L189" s="666"/>
      <c r="M189" s="666"/>
      <c r="N189" s="666"/>
    </row>
    <row r="190" spans="1:36" s="33" customFormat="1" ht="14.5" thickBot="1">
      <c r="D190" s="674"/>
      <c r="E190" s="671"/>
      <c r="F190" s="671"/>
      <c r="G190" s="671"/>
      <c r="K190" s="674"/>
      <c r="L190" s="671"/>
    </row>
    <row r="191" spans="1:36" s="33" customFormat="1" ht="13" thickBot="1">
      <c r="A191" s="883" t="s">
        <v>1428</v>
      </c>
      <c r="B191" s="884"/>
      <c r="C191" s="884"/>
      <c r="D191" s="884"/>
      <c r="E191" s="884"/>
      <c r="F191" s="884"/>
      <c r="G191" s="884"/>
      <c r="H191" s="884"/>
      <c r="I191" s="884"/>
      <c r="J191" s="884"/>
      <c r="K191" s="884"/>
      <c r="L191" s="884"/>
      <c r="M191" s="885"/>
      <c r="N191" s="139"/>
      <c r="P191" s="872" t="s">
        <v>1429</v>
      </c>
      <c r="Q191" s="878" t="s">
        <v>1428</v>
      </c>
      <c r="R191" s="879"/>
      <c r="S191" s="879"/>
      <c r="T191" s="879"/>
      <c r="U191" s="879"/>
      <c r="V191" s="879"/>
      <c r="W191" s="879"/>
      <c r="X191" s="879"/>
      <c r="Y191" s="879"/>
      <c r="Z191" s="879"/>
      <c r="AA191" s="879"/>
      <c r="AB191" s="879"/>
      <c r="AC191" s="879"/>
      <c r="AD191" s="879"/>
      <c r="AE191" s="880"/>
      <c r="AF191" s="880"/>
      <c r="AG191" s="880"/>
      <c r="AH191" s="881"/>
    </row>
    <row r="192" spans="1:36" s="33" customFormat="1" ht="33" customHeight="1" thickBot="1">
      <c r="A192" s="906" t="s">
        <v>1361</v>
      </c>
      <c r="B192" s="876" t="s">
        <v>1368</v>
      </c>
      <c r="C192" s="874" t="s">
        <v>1369</v>
      </c>
      <c r="D192" s="876" t="s">
        <v>1430</v>
      </c>
      <c r="E192" s="874" t="s">
        <v>1431</v>
      </c>
      <c r="F192" s="876" t="s">
        <v>1432</v>
      </c>
      <c r="G192" s="874" t="s">
        <v>1433</v>
      </c>
      <c r="H192" s="876" t="s">
        <v>1434</v>
      </c>
      <c r="I192" s="874" t="s">
        <v>1435</v>
      </c>
      <c r="J192" s="876" t="s">
        <v>1436</v>
      </c>
      <c r="K192" s="874" t="s">
        <v>1437</v>
      </c>
      <c r="L192" s="876" t="s">
        <v>1438</v>
      </c>
      <c r="M192" s="874" t="s">
        <v>1439</v>
      </c>
      <c r="P192" s="905" t="s">
        <v>1365</v>
      </c>
      <c r="Q192" s="878" t="s">
        <v>232</v>
      </c>
      <c r="R192" s="879"/>
      <c r="S192" s="882"/>
      <c r="T192" s="878" t="s">
        <v>212</v>
      </c>
      <c r="U192" s="879"/>
      <c r="V192" s="882"/>
      <c r="W192" s="878" t="s">
        <v>228</v>
      </c>
      <c r="X192" s="879"/>
      <c r="Y192" s="882"/>
      <c r="Z192" s="878" t="s">
        <v>229</v>
      </c>
      <c r="AA192" s="879"/>
      <c r="AB192" s="882"/>
      <c r="AC192" s="878" t="s">
        <v>231</v>
      </c>
      <c r="AD192" s="879"/>
      <c r="AE192" s="882"/>
      <c r="AF192" s="889" t="s">
        <v>230</v>
      </c>
      <c r="AG192" s="890"/>
      <c r="AH192" s="891"/>
    </row>
    <row r="193" spans="1:34" s="33" customFormat="1" ht="13" thickBot="1">
      <c r="A193" s="907"/>
      <c r="B193" s="877"/>
      <c r="C193" s="875"/>
      <c r="D193" s="877"/>
      <c r="E193" s="875"/>
      <c r="F193" s="877" t="s">
        <v>1362</v>
      </c>
      <c r="G193" s="875" t="s">
        <v>1362</v>
      </c>
      <c r="H193" s="877" t="s">
        <v>1362</v>
      </c>
      <c r="I193" s="875" t="s">
        <v>1362</v>
      </c>
      <c r="J193" s="877" t="s">
        <v>1362</v>
      </c>
      <c r="K193" s="875" t="s">
        <v>1362</v>
      </c>
      <c r="L193" s="877" t="s">
        <v>1362</v>
      </c>
      <c r="M193" s="875" t="s">
        <v>1362</v>
      </c>
      <c r="P193" s="873">
        <v>2416532</v>
      </c>
      <c r="Q193" s="217" t="s">
        <v>1362</v>
      </c>
      <c r="R193" s="64" t="s">
        <v>1363</v>
      </c>
      <c r="S193" s="64" t="s">
        <v>1364</v>
      </c>
      <c r="T193" s="217" t="s">
        <v>1362</v>
      </c>
      <c r="U193" s="64" t="s">
        <v>1363</v>
      </c>
      <c r="V193" s="64" t="s">
        <v>1364</v>
      </c>
      <c r="W193" s="217" t="s">
        <v>1362</v>
      </c>
      <c r="X193" s="64" t="s">
        <v>1363</v>
      </c>
      <c r="Y193" s="64" t="s">
        <v>1364</v>
      </c>
      <c r="Z193" s="217" t="s">
        <v>1362</v>
      </c>
      <c r="AA193" s="64" t="s">
        <v>1363</v>
      </c>
      <c r="AB193" s="64" t="s">
        <v>1364</v>
      </c>
      <c r="AC193" s="217" t="s">
        <v>1362</v>
      </c>
      <c r="AD193" s="64" t="s">
        <v>1363</v>
      </c>
      <c r="AE193" s="64" t="s">
        <v>1364</v>
      </c>
      <c r="AF193" s="699" t="s">
        <v>1362</v>
      </c>
      <c r="AG193" s="700" t="s">
        <v>1363</v>
      </c>
      <c r="AH193" s="700" t="s">
        <v>1364</v>
      </c>
    </row>
    <row r="194" spans="1:34" s="33" customFormat="1" ht="14">
      <c r="A194" s="187" t="s">
        <v>2424</v>
      </c>
      <c r="B194" s="647">
        <f t="shared" ref="B194:B212" si="53">Q194*$G36</f>
        <v>0</v>
      </c>
      <c r="C194" s="648">
        <f t="shared" ref="C194:C212" si="54">R194*$G36</f>
        <v>0</v>
      </c>
      <c r="D194" s="647">
        <f t="shared" ref="D194:D212" si="55">T194*$G36</f>
        <v>0</v>
      </c>
      <c r="E194" s="648">
        <f t="shared" ref="E194:E212" si="56">U194*$G36</f>
        <v>0</v>
      </c>
      <c r="F194" s="647">
        <f t="shared" ref="F194:F212" si="57">W194*$G36</f>
        <v>0</v>
      </c>
      <c r="G194" s="648">
        <f t="shared" ref="G194:G212" si="58">X194*$G36</f>
        <v>0</v>
      </c>
      <c r="H194" s="647">
        <f t="shared" ref="H194:H212" si="59">Z194*$G36</f>
        <v>0</v>
      </c>
      <c r="I194" s="648">
        <f t="shared" ref="I194:I212" si="60">AA194*$G36</f>
        <v>0</v>
      </c>
      <c r="J194" s="647">
        <f t="shared" ref="J194:J212" si="61">AC194*$G36</f>
        <v>0</v>
      </c>
      <c r="K194" s="648">
        <f t="shared" ref="K194:K212" si="62">AD194*$G36</f>
        <v>0</v>
      </c>
      <c r="L194" s="646"/>
      <c r="M194" s="675"/>
      <c r="P194" s="188" t="s">
        <v>2423</v>
      </c>
      <c r="Q194" s="703">
        <v>0</v>
      </c>
      <c r="R194" s="703">
        <v>0</v>
      </c>
      <c r="S194" s="703">
        <v>0</v>
      </c>
      <c r="T194" s="703">
        <v>0</v>
      </c>
      <c r="U194" s="703">
        <v>0</v>
      </c>
      <c r="V194" s="703">
        <v>0</v>
      </c>
      <c r="W194" s="703">
        <v>0</v>
      </c>
      <c r="X194" s="703">
        <v>0</v>
      </c>
      <c r="Y194" s="703">
        <v>0</v>
      </c>
      <c r="Z194" s="703">
        <v>0</v>
      </c>
      <c r="AA194" s="703">
        <v>0</v>
      </c>
      <c r="AB194" s="703">
        <v>0</v>
      </c>
      <c r="AC194" s="703">
        <v>0</v>
      </c>
      <c r="AD194" s="703">
        <v>0</v>
      </c>
      <c r="AE194" s="703">
        <v>0</v>
      </c>
      <c r="AF194" s="702">
        <v>0</v>
      </c>
      <c r="AG194" s="702">
        <v>0</v>
      </c>
      <c r="AH194" s="702">
        <v>0</v>
      </c>
    </row>
    <row r="195" spans="1:34" s="33" customFormat="1" ht="14">
      <c r="A195" s="650" t="s">
        <v>1330</v>
      </c>
      <c r="B195" s="647">
        <f t="shared" si="53"/>
        <v>3339625.0301290266</v>
      </c>
      <c r="C195" s="648">
        <f t="shared" si="54"/>
        <v>0</v>
      </c>
      <c r="D195" s="647">
        <f t="shared" si="55"/>
        <v>0</v>
      </c>
      <c r="E195" s="648">
        <f t="shared" si="56"/>
        <v>0</v>
      </c>
      <c r="F195" s="647">
        <f t="shared" si="57"/>
        <v>0</v>
      </c>
      <c r="G195" s="648">
        <f t="shared" si="58"/>
        <v>0</v>
      </c>
      <c r="H195" s="647">
        <f t="shared" si="59"/>
        <v>0</v>
      </c>
      <c r="I195" s="648">
        <f t="shared" si="60"/>
        <v>0</v>
      </c>
      <c r="J195" s="647">
        <f t="shared" si="61"/>
        <v>0</v>
      </c>
      <c r="K195" s="648">
        <f t="shared" si="62"/>
        <v>16768.077868131819</v>
      </c>
      <c r="L195" s="646"/>
      <c r="M195" s="646"/>
      <c r="P195" s="704" t="s">
        <v>1330</v>
      </c>
      <c r="Q195" s="703">
        <v>227248</v>
      </c>
      <c r="R195" s="703">
        <v>0</v>
      </c>
      <c r="S195" s="703">
        <v>227248</v>
      </c>
      <c r="T195" s="703">
        <v>0</v>
      </c>
      <c r="U195" s="703">
        <v>0</v>
      </c>
      <c r="V195" s="703">
        <v>0</v>
      </c>
      <c r="W195" s="703">
        <v>0</v>
      </c>
      <c r="X195" s="703">
        <v>0</v>
      </c>
      <c r="Y195" s="703">
        <v>0</v>
      </c>
      <c r="Z195" s="703">
        <v>0</v>
      </c>
      <c r="AA195" s="703">
        <v>0</v>
      </c>
      <c r="AB195" s="703">
        <v>0</v>
      </c>
      <c r="AC195" s="703">
        <v>0</v>
      </c>
      <c r="AD195" s="703">
        <v>1141</v>
      </c>
      <c r="AE195" s="703">
        <v>1141</v>
      </c>
      <c r="AF195" s="702">
        <v>0</v>
      </c>
      <c r="AG195" s="702">
        <v>512</v>
      </c>
      <c r="AH195" s="702">
        <v>512</v>
      </c>
    </row>
    <row r="196" spans="1:34" s="33" customFormat="1" ht="14">
      <c r="A196" s="650" t="s">
        <v>1331</v>
      </c>
      <c r="B196" s="647">
        <f t="shared" si="53"/>
        <v>0</v>
      </c>
      <c r="C196" s="648">
        <f t="shared" si="54"/>
        <v>0</v>
      </c>
      <c r="D196" s="647">
        <f t="shared" si="55"/>
        <v>0</v>
      </c>
      <c r="E196" s="648">
        <f t="shared" si="56"/>
        <v>0</v>
      </c>
      <c r="F196" s="647">
        <f t="shared" si="57"/>
        <v>0</v>
      </c>
      <c r="G196" s="648">
        <f t="shared" si="58"/>
        <v>0</v>
      </c>
      <c r="H196" s="647">
        <f t="shared" si="59"/>
        <v>0</v>
      </c>
      <c r="I196" s="648">
        <f t="shared" si="60"/>
        <v>0</v>
      </c>
      <c r="J196" s="647">
        <f t="shared" si="61"/>
        <v>0</v>
      </c>
      <c r="K196" s="648">
        <f t="shared" si="62"/>
        <v>0</v>
      </c>
      <c r="L196" s="646"/>
      <c r="M196" s="646"/>
      <c r="P196" s="704" t="s">
        <v>1331</v>
      </c>
      <c r="Q196" s="703">
        <v>0</v>
      </c>
      <c r="R196" s="703">
        <v>0</v>
      </c>
      <c r="S196" s="703">
        <v>0</v>
      </c>
      <c r="T196" s="703">
        <v>0</v>
      </c>
      <c r="U196" s="703">
        <v>0</v>
      </c>
      <c r="V196" s="703">
        <v>0</v>
      </c>
      <c r="W196" s="703">
        <v>0</v>
      </c>
      <c r="X196" s="703">
        <v>0</v>
      </c>
      <c r="Y196" s="703">
        <v>0</v>
      </c>
      <c r="Z196" s="703">
        <v>0</v>
      </c>
      <c r="AA196" s="703">
        <v>0</v>
      </c>
      <c r="AB196" s="703">
        <v>0</v>
      </c>
      <c r="AC196" s="703">
        <v>0</v>
      </c>
      <c r="AD196" s="703">
        <v>0</v>
      </c>
      <c r="AE196" s="703">
        <v>0</v>
      </c>
      <c r="AF196" s="702">
        <v>0</v>
      </c>
      <c r="AG196" s="702">
        <v>0</v>
      </c>
      <c r="AH196" s="702">
        <v>0</v>
      </c>
    </row>
    <row r="197" spans="1:34" s="33" customFormat="1" ht="14">
      <c r="A197" s="650" t="s">
        <v>1332</v>
      </c>
      <c r="B197" s="647">
        <f t="shared" si="53"/>
        <v>0</v>
      </c>
      <c r="C197" s="648">
        <f t="shared" si="54"/>
        <v>0</v>
      </c>
      <c r="D197" s="647">
        <f t="shared" si="55"/>
        <v>0</v>
      </c>
      <c r="E197" s="648">
        <f t="shared" si="56"/>
        <v>0</v>
      </c>
      <c r="F197" s="647">
        <f t="shared" si="57"/>
        <v>0</v>
      </c>
      <c r="G197" s="648">
        <f t="shared" si="58"/>
        <v>0</v>
      </c>
      <c r="H197" s="647">
        <f t="shared" si="59"/>
        <v>0</v>
      </c>
      <c r="I197" s="648">
        <f t="shared" si="60"/>
        <v>0</v>
      </c>
      <c r="J197" s="647">
        <f t="shared" si="61"/>
        <v>0</v>
      </c>
      <c r="K197" s="648">
        <f t="shared" si="62"/>
        <v>0</v>
      </c>
      <c r="L197" s="646"/>
      <c r="M197" s="646"/>
      <c r="P197" s="704" t="s">
        <v>1332</v>
      </c>
      <c r="Q197" s="703">
        <v>0</v>
      </c>
      <c r="R197" s="703">
        <v>0</v>
      </c>
      <c r="S197" s="703">
        <v>0</v>
      </c>
      <c r="T197" s="703">
        <v>0</v>
      </c>
      <c r="U197" s="703">
        <v>0</v>
      </c>
      <c r="V197" s="703">
        <v>0</v>
      </c>
      <c r="W197" s="703">
        <v>0</v>
      </c>
      <c r="X197" s="703">
        <v>0</v>
      </c>
      <c r="Y197" s="703">
        <v>0</v>
      </c>
      <c r="Z197" s="703">
        <v>0</v>
      </c>
      <c r="AA197" s="703">
        <v>0</v>
      </c>
      <c r="AB197" s="703">
        <v>0</v>
      </c>
      <c r="AC197" s="703">
        <v>0</v>
      </c>
      <c r="AD197" s="703">
        <v>0</v>
      </c>
      <c r="AE197" s="703">
        <v>0</v>
      </c>
      <c r="AF197" s="702">
        <v>0</v>
      </c>
      <c r="AG197" s="702">
        <v>0</v>
      </c>
      <c r="AH197" s="702">
        <v>0</v>
      </c>
    </row>
    <row r="198" spans="1:34" s="33" customFormat="1" ht="14">
      <c r="A198" s="650" t="s">
        <v>1333</v>
      </c>
      <c r="B198" s="647">
        <f t="shared" si="53"/>
        <v>3148.3878248047786</v>
      </c>
      <c r="C198" s="648">
        <f t="shared" si="54"/>
        <v>49435.378706949734</v>
      </c>
      <c r="D198" s="647">
        <f t="shared" si="55"/>
        <v>0</v>
      </c>
      <c r="E198" s="648">
        <f t="shared" si="56"/>
        <v>1706.9572544122293</v>
      </c>
      <c r="F198" s="647">
        <f t="shared" si="57"/>
        <v>0</v>
      </c>
      <c r="G198" s="648">
        <f t="shared" si="58"/>
        <v>0</v>
      </c>
      <c r="H198" s="647">
        <f t="shared" si="59"/>
        <v>0</v>
      </c>
      <c r="I198" s="648">
        <f t="shared" si="60"/>
        <v>76680.313106540474</v>
      </c>
      <c r="J198" s="647">
        <f t="shared" si="61"/>
        <v>0</v>
      </c>
      <c r="K198" s="648">
        <f t="shared" si="62"/>
        <v>0</v>
      </c>
      <c r="L198" s="646"/>
      <c r="M198" s="646"/>
      <c r="P198" s="704" t="s">
        <v>1333</v>
      </c>
      <c r="Q198" s="703">
        <v>332</v>
      </c>
      <c r="R198" s="703">
        <v>5213</v>
      </c>
      <c r="S198" s="703">
        <v>5545</v>
      </c>
      <c r="T198" s="703">
        <v>0</v>
      </c>
      <c r="U198" s="703">
        <v>180</v>
      </c>
      <c r="V198" s="703">
        <v>180</v>
      </c>
      <c r="W198" s="703">
        <v>0</v>
      </c>
      <c r="X198" s="703">
        <v>0</v>
      </c>
      <c r="Y198" s="703">
        <v>0</v>
      </c>
      <c r="Z198" s="703">
        <v>0</v>
      </c>
      <c r="AA198" s="703">
        <v>8086</v>
      </c>
      <c r="AB198" s="703">
        <v>8086</v>
      </c>
      <c r="AC198" s="703">
        <v>0</v>
      </c>
      <c r="AD198" s="703">
        <v>0</v>
      </c>
      <c r="AE198" s="703">
        <v>0</v>
      </c>
      <c r="AF198" s="702">
        <v>7203</v>
      </c>
      <c r="AG198" s="702">
        <v>713</v>
      </c>
      <c r="AH198" s="702">
        <v>7916</v>
      </c>
    </row>
    <row r="199" spans="1:34" s="33" customFormat="1" ht="14">
      <c r="A199" s="650" t="s">
        <v>1334</v>
      </c>
      <c r="B199" s="647">
        <f t="shared" si="53"/>
        <v>0</v>
      </c>
      <c r="C199" s="648">
        <f t="shared" si="54"/>
        <v>0</v>
      </c>
      <c r="D199" s="647">
        <f t="shared" si="55"/>
        <v>0</v>
      </c>
      <c r="E199" s="648">
        <f t="shared" si="56"/>
        <v>0</v>
      </c>
      <c r="F199" s="647">
        <f t="shared" si="57"/>
        <v>0</v>
      </c>
      <c r="G199" s="648">
        <f t="shared" si="58"/>
        <v>0</v>
      </c>
      <c r="H199" s="647">
        <f t="shared" si="59"/>
        <v>0</v>
      </c>
      <c r="I199" s="648">
        <f t="shared" si="60"/>
        <v>0</v>
      </c>
      <c r="J199" s="647">
        <f t="shared" si="61"/>
        <v>0</v>
      </c>
      <c r="K199" s="648">
        <f t="shared" si="62"/>
        <v>0</v>
      </c>
      <c r="L199" s="646"/>
      <c r="M199" s="646"/>
      <c r="P199" s="704" t="s">
        <v>1334</v>
      </c>
      <c r="Q199" s="703">
        <v>0</v>
      </c>
      <c r="R199" s="703">
        <v>0</v>
      </c>
      <c r="S199" s="703">
        <v>0</v>
      </c>
      <c r="T199" s="703">
        <v>0</v>
      </c>
      <c r="U199" s="703">
        <v>0</v>
      </c>
      <c r="V199" s="703">
        <v>0</v>
      </c>
      <c r="W199" s="703">
        <v>0</v>
      </c>
      <c r="X199" s="703">
        <v>0</v>
      </c>
      <c r="Y199" s="703">
        <v>0</v>
      </c>
      <c r="Z199" s="703">
        <v>0</v>
      </c>
      <c r="AA199" s="703">
        <v>0</v>
      </c>
      <c r="AB199" s="703">
        <v>0</v>
      </c>
      <c r="AC199" s="703">
        <v>0</v>
      </c>
      <c r="AD199" s="703">
        <v>0</v>
      </c>
      <c r="AE199" s="703">
        <v>0</v>
      </c>
      <c r="AF199" s="702">
        <v>0</v>
      </c>
      <c r="AG199" s="702">
        <v>0</v>
      </c>
      <c r="AH199" s="702">
        <v>0</v>
      </c>
    </row>
    <row r="200" spans="1:34" s="33" customFormat="1" ht="14">
      <c r="A200" s="650" t="s">
        <v>1335</v>
      </c>
      <c r="B200" s="647">
        <f t="shared" si="53"/>
        <v>0</v>
      </c>
      <c r="C200" s="648">
        <f t="shared" si="54"/>
        <v>0</v>
      </c>
      <c r="D200" s="647">
        <f t="shared" si="55"/>
        <v>0</v>
      </c>
      <c r="E200" s="648">
        <f t="shared" si="56"/>
        <v>0</v>
      </c>
      <c r="F200" s="647">
        <f t="shared" si="57"/>
        <v>0</v>
      </c>
      <c r="G200" s="648">
        <f t="shared" si="58"/>
        <v>0</v>
      </c>
      <c r="H200" s="647">
        <f t="shared" si="59"/>
        <v>0</v>
      </c>
      <c r="I200" s="648">
        <f t="shared" si="60"/>
        <v>0</v>
      </c>
      <c r="J200" s="647">
        <f t="shared" si="61"/>
        <v>0</v>
      </c>
      <c r="K200" s="648">
        <f t="shared" si="62"/>
        <v>0</v>
      </c>
      <c r="L200" s="646"/>
      <c r="M200" s="646"/>
      <c r="P200" s="704" t="s">
        <v>1335</v>
      </c>
      <c r="Q200" s="703">
        <v>0</v>
      </c>
      <c r="R200" s="703">
        <v>0</v>
      </c>
      <c r="S200" s="703">
        <v>0</v>
      </c>
      <c r="T200" s="703">
        <v>0</v>
      </c>
      <c r="U200" s="703">
        <v>0</v>
      </c>
      <c r="V200" s="703">
        <v>0</v>
      </c>
      <c r="W200" s="703">
        <v>0</v>
      </c>
      <c r="X200" s="703">
        <v>0</v>
      </c>
      <c r="Y200" s="703">
        <v>0</v>
      </c>
      <c r="Z200" s="703">
        <v>0</v>
      </c>
      <c r="AA200" s="703">
        <v>0</v>
      </c>
      <c r="AB200" s="703">
        <v>0</v>
      </c>
      <c r="AC200" s="703">
        <v>0</v>
      </c>
      <c r="AD200" s="703">
        <v>0</v>
      </c>
      <c r="AE200" s="703">
        <v>0</v>
      </c>
      <c r="AF200" s="702">
        <v>0</v>
      </c>
      <c r="AG200" s="702">
        <v>0</v>
      </c>
      <c r="AH200" s="702">
        <v>0</v>
      </c>
    </row>
    <row r="201" spans="1:34" s="33" customFormat="1" ht="14">
      <c r="A201" s="652" t="s">
        <v>1336</v>
      </c>
      <c r="B201" s="647">
        <f t="shared" si="53"/>
        <v>0</v>
      </c>
      <c r="C201" s="648">
        <f t="shared" si="54"/>
        <v>0</v>
      </c>
      <c r="D201" s="647">
        <f t="shared" si="55"/>
        <v>0</v>
      </c>
      <c r="E201" s="648">
        <f t="shared" si="56"/>
        <v>0</v>
      </c>
      <c r="F201" s="647">
        <f t="shared" si="57"/>
        <v>0</v>
      </c>
      <c r="G201" s="648">
        <f t="shared" si="58"/>
        <v>0</v>
      </c>
      <c r="H201" s="647">
        <f t="shared" si="59"/>
        <v>0</v>
      </c>
      <c r="I201" s="648">
        <f t="shared" si="60"/>
        <v>0</v>
      </c>
      <c r="J201" s="647">
        <f t="shared" si="61"/>
        <v>0</v>
      </c>
      <c r="K201" s="648">
        <f t="shared" si="62"/>
        <v>0</v>
      </c>
      <c r="L201" s="646"/>
      <c r="M201" s="646"/>
      <c r="P201" s="142" t="s">
        <v>1336</v>
      </c>
      <c r="Q201" s="703">
        <v>25018</v>
      </c>
      <c r="R201" s="703">
        <v>4007</v>
      </c>
      <c r="S201" s="703">
        <v>29025</v>
      </c>
      <c r="T201" s="703">
        <v>106078</v>
      </c>
      <c r="U201" s="703">
        <v>1989</v>
      </c>
      <c r="V201" s="703">
        <v>108067</v>
      </c>
      <c r="W201" s="703">
        <v>325236</v>
      </c>
      <c r="X201" s="703">
        <v>0</v>
      </c>
      <c r="Y201" s="703">
        <v>325236</v>
      </c>
      <c r="Z201" s="703">
        <v>2627</v>
      </c>
      <c r="AA201" s="703">
        <v>16410</v>
      </c>
      <c r="AB201" s="703">
        <v>19037</v>
      </c>
      <c r="AC201" s="703">
        <v>3620</v>
      </c>
      <c r="AD201" s="703">
        <v>15389</v>
      </c>
      <c r="AE201" s="703">
        <v>19009</v>
      </c>
      <c r="AF201" s="702">
        <v>531576</v>
      </c>
      <c r="AG201" s="702">
        <v>28432</v>
      </c>
      <c r="AH201" s="702">
        <v>560008</v>
      </c>
    </row>
    <row r="202" spans="1:34" s="33" customFormat="1" ht="14">
      <c r="A202" s="652" t="s">
        <v>1337</v>
      </c>
      <c r="B202" s="647">
        <f t="shared" si="53"/>
        <v>0</v>
      </c>
      <c r="C202" s="648">
        <f t="shared" si="54"/>
        <v>0</v>
      </c>
      <c r="D202" s="647">
        <f t="shared" si="55"/>
        <v>0</v>
      </c>
      <c r="E202" s="648">
        <f t="shared" si="56"/>
        <v>0</v>
      </c>
      <c r="F202" s="647">
        <f t="shared" si="57"/>
        <v>0</v>
      </c>
      <c r="G202" s="648">
        <f t="shared" si="58"/>
        <v>0</v>
      </c>
      <c r="H202" s="647">
        <f t="shared" si="59"/>
        <v>0</v>
      </c>
      <c r="I202" s="648">
        <f t="shared" si="60"/>
        <v>0</v>
      </c>
      <c r="J202" s="647">
        <f t="shared" si="61"/>
        <v>0</v>
      </c>
      <c r="K202" s="648">
        <f t="shared" si="62"/>
        <v>0</v>
      </c>
      <c r="L202" s="646"/>
      <c r="M202" s="646"/>
      <c r="P202" s="142" t="s">
        <v>1337</v>
      </c>
      <c r="Q202" s="703">
        <v>0</v>
      </c>
      <c r="R202" s="703">
        <v>0</v>
      </c>
      <c r="S202" s="703">
        <v>0</v>
      </c>
      <c r="T202" s="703">
        <v>0</v>
      </c>
      <c r="U202" s="703">
        <v>0</v>
      </c>
      <c r="V202" s="703">
        <v>0</v>
      </c>
      <c r="W202" s="703">
        <v>0</v>
      </c>
      <c r="X202" s="703">
        <v>0</v>
      </c>
      <c r="Y202" s="703">
        <v>0</v>
      </c>
      <c r="Z202" s="703">
        <v>0</v>
      </c>
      <c r="AA202" s="703">
        <v>0</v>
      </c>
      <c r="AB202" s="703">
        <v>0</v>
      </c>
      <c r="AC202" s="703">
        <v>0</v>
      </c>
      <c r="AD202" s="703">
        <v>0</v>
      </c>
      <c r="AE202" s="703">
        <v>0</v>
      </c>
      <c r="AF202" s="702">
        <v>0</v>
      </c>
      <c r="AG202" s="702">
        <v>0</v>
      </c>
      <c r="AH202" s="702">
        <v>0</v>
      </c>
    </row>
    <row r="203" spans="1:34" s="33" customFormat="1" ht="14">
      <c r="A203" s="650" t="s">
        <v>1338</v>
      </c>
      <c r="B203" s="647">
        <f t="shared" si="53"/>
        <v>0</v>
      </c>
      <c r="C203" s="648">
        <f t="shared" si="54"/>
        <v>0</v>
      </c>
      <c r="D203" s="647">
        <f t="shared" si="55"/>
        <v>0</v>
      </c>
      <c r="E203" s="648">
        <f t="shared" si="56"/>
        <v>0</v>
      </c>
      <c r="F203" s="647">
        <f t="shared" si="57"/>
        <v>0</v>
      </c>
      <c r="G203" s="648">
        <f t="shared" si="58"/>
        <v>0</v>
      </c>
      <c r="H203" s="647">
        <f t="shared" si="59"/>
        <v>0</v>
      </c>
      <c r="I203" s="648">
        <f t="shared" si="60"/>
        <v>0</v>
      </c>
      <c r="J203" s="647">
        <f t="shared" si="61"/>
        <v>0</v>
      </c>
      <c r="K203" s="648">
        <f t="shared" si="62"/>
        <v>0</v>
      </c>
      <c r="L203" s="646"/>
      <c r="M203" s="646"/>
      <c r="P203" s="704" t="s">
        <v>1338</v>
      </c>
      <c r="Q203" s="703">
        <v>0</v>
      </c>
      <c r="R203" s="703">
        <v>0</v>
      </c>
      <c r="S203" s="703">
        <v>0</v>
      </c>
      <c r="T203" s="703">
        <v>0</v>
      </c>
      <c r="U203" s="703">
        <v>0</v>
      </c>
      <c r="V203" s="703">
        <v>0</v>
      </c>
      <c r="W203" s="703">
        <v>0</v>
      </c>
      <c r="X203" s="703">
        <v>0</v>
      </c>
      <c r="Y203" s="703">
        <v>0</v>
      </c>
      <c r="Z203" s="703">
        <v>0</v>
      </c>
      <c r="AA203" s="703">
        <v>0</v>
      </c>
      <c r="AB203" s="703">
        <v>0</v>
      </c>
      <c r="AC203" s="703">
        <v>0</v>
      </c>
      <c r="AD203" s="703">
        <v>0</v>
      </c>
      <c r="AE203" s="703">
        <v>0</v>
      </c>
      <c r="AF203" s="702">
        <v>0</v>
      </c>
      <c r="AG203" s="702">
        <v>0</v>
      </c>
      <c r="AH203" s="702">
        <v>0</v>
      </c>
    </row>
    <row r="204" spans="1:34" s="33" customFormat="1" ht="14">
      <c r="A204" s="650" t="s">
        <v>1339</v>
      </c>
      <c r="B204" s="647">
        <f t="shared" si="53"/>
        <v>121592.2550892978</v>
      </c>
      <c r="C204" s="648">
        <f t="shared" si="54"/>
        <v>1109.522215367949</v>
      </c>
      <c r="D204" s="647">
        <f t="shared" si="55"/>
        <v>58899.508373079756</v>
      </c>
      <c r="E204" s="648">
        <f t="shared" si="56"/>
        <v>0</v>
      </c>
      <c r="F204" s="647">
        <f t="shared" si="57"/>
        <v>0</v>
      </c>
      <c r="G204" s="648">
        <f t="shared" si="58"/>
        <v>0</v>
      </c>
      <c r="H204" s="647">
        <f t="shared" si="59"/>
        <v>277039.16239110479</v>
      </c>
      <c r="I204" s="648">
        <f t="shared" si="60"/>
        <v>0</v>
      </c>
      <c r="J204" s="647">
        <f t="shared" si="61"/>
        <v>0</v>
      </c>
      <c r="K204" s="648">
        <f t="shared" si="62"/>
        <v>0</v>
      </c>
      <c r="L204" s="646"/>
      <c r="M204" s="646"/>
      <c r="P204" s="704" t="s">
        <v>1339</v>
      </c>
      <c r="Q204" s="703">
        <v>12822</v>
      </c>
      <c r="R204" s="703">
        <v>117</v>
      </c>
      <c r="S204" s="703">
        <v>12939</v>
      </c>
      <c r="T204" s="703">
        <v>6211</v>
      </c>
      <c r="U204" s="703">
        <v>0</v>
      </c>
      <c r="V204" s="703">
        <v>6211</v>
      </c>
      <c r="W204" s="703">
        <v>0</v>
      </c>
      <c r="X204" s="703">
        <v>0</v>
      </c>
      <c r="Y204" s="703">
        <v>0</v>
      </c>
      <c r="Z204" s="703">
        <v>29214</v>
      </c>
      <c r="AA204" s="703">
        <v>0</v>
      </c>
      <c r="AB204" s="703">
        <v>29214</v>
      </c>
      <c r="AC204" s="703">
        <v>0</v>
      </c>
      <c r="AD204" s="703">
        <v>0</v>
      </c>
      <c r="AE204" s="703">
        <v>0</v>
      </c>
      <c r="AF204" s="702">
        <v>2711</v>
      </c>
      <c r="AG204" s="702">
        <v>0</v>
      </c>
      <c r="AH204" s="702">
        <v>2711</v>
      </c>
    </row>
    <row r="205" spans="1:34" s="33" customFormat="1" ht="14">
      <c r="A205" s="650" t="s">
        <v>1340</v>
      </c>
      <c r="B205" s="647">
        <f t="shared" si="53"/>
        <v>0</v>
      </c>
      <c r="C205" s="648">
        <f t="shared" si="54"/>
        <v>0</v>
      </c>
      <c r="D205" s="647">
        <f t="shared" si="55"/>
        <v>0</v>
      </c>
      <c r="E205" s="648">
        <f t="shared" si="56"/>
        <v>0</v>
      </c>
      <c r="F205" s="647">
        <f t="shared" si="57"/>
        <v>0</v>
      </c>
      <c r="G205" s="648">
        <f t="shared" si="58"/>
        <v>0</v>
      </c>
      <c r="H205" s="647">
        <f t="shared" si="59"/>
        <v>0</v>
      </c>
      <c r="I205" s="648">
        <f t="shared" si="60"/>
        <v>0</v>
      </c>
      <c r="J205" s="647">
        <f t="shared" si="61"/>
        <v>0</v>
      </c>
      <c r="K205" s="648">
        <f t="shared" si="62"/>
        <v>0</v>
      </c>
      <c r="L205" s="646"/>
      <c r="M205" s="646"/>
      <c r="P205" s="704" t="s">
        <v>1340</v>
      </c>
      <c r="Q205" s="703">
        <v>0</v>
      </c>
      <c r="R205" s="703">
        <v>0</v>
      </c>
      <c r="S205" s="703">
        <v>0</v>
      </c>
      <c r="T205" s="703">
        <v>0</v>
      </c>
      <c r="U205" s="703">
        <v>0</v>
      </c>
      <c r="V205" s="703">
        <v>0</v>
      </c>
      <c r="W205" s="703">
        <v>0</v>
      </c>
      <c r="X205" s="703">
        <v>0</v>
      </c>
      <c r="Y205" s="703">
        <v>0</v>
      </c>
      <c r="Z205" s="703">
        <v>0</v>
      </c>
      <c r="AA205" s="703">
        <v>0</v>
      </c>
      <c r="AB205" s="703">
        <v>0</v>
      </c>
      <c r="AC205" s="703">
        <v>0</v>
      </c>
      <c r="AD205" s="703">
        <v>0</v>
      </c>
      <c r="AE205" s="703">
        <v>0</v>
      </c>
      <c r="AF205" s="702">
        <v>0</v>
      </c>
      <c r="AG205" s="702">
        <v>0</v>
      </c>
      <c r="AH205" s="702">
        <v>0</v>
      </c>
    </row>
    <row r="206" spans="1:34" s="33" customFormat="1" ht="14">
      <c r="A206" s="650" t="s">
        <v>1341</v>
      </c>
      <c r="B206" s="647">
        <f t="shared" si="53"/>
        <v>0</v>
      </c>
      <c r="C206" s="648">
        <f t="shared" si="54"/>
        <v>0</v>
      </c>
      <c r="D206" s="647">
        <f t="shared" si="55"/>
        <v>0</v>
      </c>
      <c r="E206" s="648">
        <f t="shared" si="56"/>
        <v>0</v>
      </c>
      <c r="F206" s="647">
        <f t="shared" si="57"/>
        <v>0</v>
      </c>
      <c r="G206" s="648">
        <f t="shared" si="58"/>
        <v>0</v>
      </c>
      <c r="H206" s="647">
        <f t="shared" si="59"/>
        <v>0</v>
      </c>
      <c r="I206" s="648">
        <f t="shared" si="60"/>
        <v>0</v>
      </c>
      <c r="J206" s="647">
        <f t="shared" si="61"/>
        <v>0</v>
      </c>
      <c r="K206" s="648">
        <f t="shared" si="62"/>
        <v>0</v>
      </c>
      <c r="L206" s="646"/>
      <c r="M206" s="646"/>
      <c r="P206" s="704" t="s">
        <v>1341</v>
      </c>
      <c r="Q206" s="703">
        <v>0</v>
      </c>
      <c r="R206" s="703">
        <v>0</v>
      </c>
      <c r="S206" s="703">
        <v>0</v>
      </c>
      <c r="T206" s="703">
        <v>0</v>
      </c>
      <c r="U206" s="703">
        <v>0</v>
      </c>
      <c r="V206" s="703">
        <v>0</v>
      </c>
      <c r="W206" s="703">
        <v>0</v>
      </c>
      <c r="X206" s="703">
        <v>0</v>
      </c>
      <c r="Y206" s="703">
        <v>0</v>
      </c>
      <c r="Z206" s="703">
        <v>0</v>
      </c>
      <c r="AA206" s="703">
        <v>0</v>
      </c>
      <c r="AB206" s="703">
        <v>0</v>
      </c>
      <c r="AC206" s="703">
        <v>0</v>
      </c>
      <c r="AD206" s="703">
        <v>0</v>
      </c>
      <c r="AE206" s="703">
        <v>0</v>
      </c>
      <c r="AF206" s="702">
        <v>0</v>
      </c>
      <c r="AG206" s="702">
        <v>0</v>
      </c>
      <c r="AH206" s="702">
        <v>0</v>
      </c>
    </row>
    <row r="207" spans="1:34" s="33" customFormat="1" ht="14">
      <c r="A207" s="650" t="s">
        <v>1342</v>
      </c>
      <c r="B207" s="647">
        <f t="shared" si="53"/>
        <v>0</v>
      </c>
      <c r="C207" s="648">
        <f t="shared" si="54"/>
        <v>0</v>
      </c>
      <c r="D207" s="647">
        <f t="shared" si="55"/>
        <v>0</v>
      </c>
      <c r="E207" s="648">
        <f t="shared" si="56"/>
        <v>0</v>
      </c>
      <c r="F207" s="647">
        <f t="shared" si="57"/>
        <v>0</v>
      </c>
      <c r="G207" s="648">
        <f t="shared" si="58"/>
        <v>0</v>
      </c>
      <c r="H207" s="647">
        <f t="shared" si="59"/>
        <v>0</v>
      </c>
      <c r="I207" s="648">
        <f t="shared" si="60"/>
        <v>0</v>
      </c>
      <c r="J207" s="647">
        <f t="shared" si="61"/>
        <v>0</v>
      </c>
      <c r="K207" s="648">
        <f t="shared" si="62"/>
        <v>0</v>
      </c>
      <c r="L207" s="646"/>
      <c r="M207" s="646"/>
      <c r="P207" s="704" t="s">
        <v>1342</v>
      </c>
      <c r="Q207" s="703">
        <v>0</v>
      </c>
      <c r="R207" s="703">
        <v>0</v>
      </c>
      <c r="S207" s="703">
        <v>0</v>
      </c>
      <c r="T207" s="703">
        <v>0</v>
      </c>
      <c r="U207" s="703">
        <v>0</v>
      </c>
      <c r="V207" s="703">
        <v>0</v>
      </c>
      <c r="W207" s="703">
        <v>0</v>
      </c>
      <c r="X207" s="703">
        <v>0</v>
      </c>
      <c r="Y207" s="703">
        <v>0</v>
      </c>
      <c r="Z207" s="703">
        <v>0</v>
      </c>
      <c r="AA207" s="703">
        <v>0</v>
      </c>
      <c r="AB207" s="703">
        <v>0</v>
      </c>
      <c r="AC207" s="703">
        <v>0</v>
      </c>
      <c r="AD207" s="703">
        <v>0</v>
      </c>
      <c r="AE207" s="703">
        <v>0</v>
      </c>
      <c r="AF207" s="702">
        <v>0</v>
      </c>
      <c r="AG207" s="702">
        <v>0</v>
      </c>
      <c r="AH207" s="702">
        <v>0</v>
      </c>
    </row>
    <row r="208" spans="1:34" s="33" customFormat="1" ht="14">
      <c r="A208" s="650" t="s">
        <v>1343</v>
      </c>
      <c r="B208" s="647">
        <f t="shared" si="53"/>
        <v>0</v>
      </c>
      <c r="C208" s="648">
        <f t="shared" si="54"/>
        <v>0</v>
      </c>
      <c r="D208" s="647">
        <f t="shared" si="55"/>
        <v>0</v>
      </c>
      <c r="E208" s="648">
        <f t="shared" si="56"/>
        <v>0</v>
      </c>
      <c r="F208" s="647">
        <f t="shared" si="57"/>
        <v>0</v>
      </c>
      <c r="G208" s="648">
        <f t="shared" si="58"/>
        <v>0</v>
      </c>
      <c r="H208" s="647">
        <f t="shared" si="59"/>
        <v>0</v>
      </c>
      <c r="I208" s="648">
        <f t="shared" si="60"/>
        <v>0</v>
      </c>
      <c r="J208" s="647">
        <f t="shared" si="61"/>
        <v>0</v>
      </c>
      <c r="K208" s="648">
        <f t="shared" si="62"/>
        <v>0</v>
      </c>
      <c r="L208" s="646"/>
      <c r="M208" s="646"/>
      <c r="P208" s="704" t="s">
        <v>1343</v>
      </c>
      <c r="Q208" s="703">
        <v>0</v>
      </c>
      <c r="R208" s="703">
        <v>0</v>
      </c>
      <c r="S208" s="703">
        <v>0</v>
      </c>
      <c r="T208" s="703">
        <v>0</v>
      </c>
      <c r="U208" s="703">
        <v>0</v>
      </c>
      <c r="V208" s="703">
        <v>0</v>
      </c>
      <c r="W208" s="703">
        <v>0</v>
      </c>
      <c r="X208" s="703">
        <v>0</v>
      </c>
      <c r="Y208" s="703">
        <v>0</v>
      </c>
      <c r="Z208" s="703">
        <v>0</v>
      </c>
      <c r="AA208" s="703">
        <v>0</v>
      </c>
      <c r="AB208" s="703">
        <v>0</v>
      </c>
      <c r="AC208" s="703">
        <v>0</v>
      </c>
      <c r="AD208" s="703">
        <v>0</v>
      </c>
      <c r="AE208" s="703">
        <v>0</v>
      </c>
      <c r="AF208" s="702">
        <v>0</v>
      </c>
      <c r="AG208" s="702">
        <v>0</v>
      </c>
      <c r="AH208" s="702">
        <v>0</v>
      </c>
    </row>
    <row r="209" spans="1:36" s="33" customFormat="1" ht="14">
      <c r="A209" s="188" t="s">
        <v>1344</v>
      </c>
      <c r="B209" s="647">
        <f t="shared" si="53"/>
        <v>0</v>
      </c>
      <c r="C209" s="648">
        <f t="shared" si="54"/>
        <v>0</v>
      </c>
      <c r="D209" s="647">
        <f t="shared" si="55"/>
        <v>0</v>
      </c>
      <c r="E209" s="648">
        <f t="shared" si="56"/>
        <v>0</v>
      </c>
      <c r="F209" s="647">
        <f t="shared" si="57"/>
        <v>0</v>
      </c>
      <c r="G209" s="648">
        <f t="shared" si="58"/>
        <v>0</v>
      </c>
      <c r="H209" s="647">
        <f t="shared" si="59"/>
        <v>0</v>
      </c>
      <c r="I209" s="648">
        <f t="shared" si="60"/>
        <v>0</v>
      </c>
      <c r="J209" s="647">
        <f t="shared" si="61"/>
        <v>0</v>
      </c>
      <c r="K209" s="648">
        <f t="shared" si="62"/>
        <v>0</v>
      </c>
      <c r="L209" s="646"/>
      <c r="M209" s="646"/>
      <c r="P209" s="188" t="s">
        <v>1344</v>
      </c>
      <c r="Q209" s="703">
        <v>20725</v>
      </c>
      <c r="R209" s="703">
        <v>29618</v>
      </c>
      <c r="S209" s="703">
        <v>50343</v>
      </c>
      <c r="T209" s="703">
        <v>5737</v>
      </c>
      <c r="U209" s="703">
        <v>180263</v>
      </c>
      <c r="V209" s="703">
        <v>186000</v>
      </c>
      <c r="W209" s="703">
        <v>0</v>
      </c>
      <c r="X209" s="703">
        <v>0</v>
      </c>
      <c r="Y209" s="703">
        <v>0</v>
      </c>
      <c r="Z209" s="703">
        <v>0</v>
      </c>
      <c r="AA209" s="703">
        <v>0</v>
      </c>
      <c r="AB209" s="703">
        <v>0</v>
      </c>
      <c r="AC209" s="703">
        <v>0</v>
      </c>
      <c r="AD209" s="703">
        <v>20359</v>
      </c>
      <c r="AE209" s="703">
        <v>20359</v>
      </c>
      <c r="AF209" s="702">
        <v>0</v>
      </c>
      <c r="AG209" s="702">
        <v>99998</v>
      </c>
      <c r="AH209" s="702">
        <v>99998</v>
      </c>
    </row>
    <row r="210" spans="1:36" s="33" customFormat="1" ht="14">
      <c r="A210" s="650" t="s">
        <v>1345</v>
      </c>
      <c r="B210" s="647">
        <f t="shared" si="53"/>
        <v>0</v>
      </c>
      <c r="C210" s="648">
        <f t="shared" si="54"/>
        <v>0</v>
      </c>
      <c r="D210" s="647">
        <f t="shared" si="55"/>
        <v>0</v>
      </c>
      <c r="E210" s="648">
        <f t="shared" si="56"/>
        <v>0</v>
      </c>
      <c r="F210" s="647">
        <f t="shared" si="57"/>
        <v>0</v>
      </c>
      <c r="G210" s="648">
        <f t="shared" si="58"/>
        <v>0</v>
      </c>
      <c r="H210" s="647">
        <f t="shared" si="59"/>
        <v>0</v>
      </c>
      <c r="I210" s="648">
        <f t="shared" si="60"/>
        <v>0</v>
      </c>
      <c r="J210" s="647">
        <f t="shared" si="61"/>
        <v>0</v>
      </c>
      <c r="K210" s="648">
        <f t="shared" si="62"/>
        <v>0</v>
      </c>
      <c r="L210" s="646"/>
      <c r="M210" s="646"/>
      <c r="P210" s="704" t="s">
        <v>1345</v>
      </c>
      <c r="Q210" s="703">
        <v>0</v>
      </c>
      <c r="R210" s="703">
        <v>0</v>
      </c>
      <c r="S210" s="703">
        <v>0</v>
      </c>
      <c r="T210" s="703">
        <v>0</v>
      </c>
      <c r="U210" s="703">
        <v>0</v>
      </c>
      <c r="V210" s="703">
        <v>0</v>
      </c>
      <c r="W210" s="703">
        <v>0</v>
      </c>
      <c r="X210" s="703">
        <v>0</v>
      </c>
      <c r="Y210" s="703">
        <v>0</v>
      </c>
      <c r="Z210" s="703">
        <v>0</v>
      </c>
      <c r="AA210" s="703">
        <v>0</v>
      </c>
      <c r="AB210" s="703">
        <v>0</v>
      </c>
      <c r="AC210" s="703">
        <v>0</v>
      </c>
      <c r="AD210" s="703">
        <v>0</v>
      </c>
      <c r="AE210" s="703">
        <v>0</v>
      </c>
      <c r="AF210" s="702">
        <v>0</v>
      </c>
      <c r="AG210" s="702">
        <v>0</v>
      </c>
      <c r="AH210" s="702">
        <v>0</v>
      </c>
    </row>
    <row r="211" spans="1:36" s="33" customFormat="1" ht="14">
      <c r="A211" s="650" t="s">
        <v>1346</v>
      </c>
      <c r="B211" s="647">
        <f t="shared" si="53"/>
        <v>0</v>
      </c>
      <c r="C211" s="648">
        <f t="shared" si="54"/>
        <v>0</v>
      </c>
      <c r="D211" s="647">
        <f t="shared" si="55"/>
        <v>0</v>
      </c>
      <c r="E211" s="648">
        <f t="shared" si="56"/>
        <v>0</v>
      </c>
      <c r="F211" s="647">
        <f t="shared" si="57"/>
        <v>0</v>
      </c>
      <c r="G211" s="648">
        <f t="shared" si="58"/>
        <v>0</v>
      </c>
      <c r="H211" s="647">
        <f t="shared" si="59"/>
        <v>0</v>
      </c>
      <c r="I211" s="648">
        <f t="shared" si="60"/>
        <v>0</v>
      </c>
      <c r="J211" s="647">
        <f t="shared" si="61"/>
        <v>0</v>
      </c>
      <c r="K211" s="648">
        <f t="shared" si="62"/>
        <v>0</v>
      </c>
      <c r="L211" s="646"/>
      <c r="M211" s="646"/>
      <c r="P211" s="704" t="s">
        <v>1346</v>
      </c>
      <c r="Q211" s="703">
        <v>87680</v>
      </c>
      <c r="R211" s="703">
        <v>0</v>
      </c>
      <c r="S211" s="703">
        <v>87680</v>
      </c>
      <c r="T211" s="703">
        <v>14326</v>
      </c>
      <c r="U211" s="703">
        <v>0</v>
      </c>
      <c r="V211" s="703">
        <v>14326</v>
      </c>
      <c r="W211" s="703">
        <v>0</v>
      </c>
      <c r="X211" s="703">
        <v>0</v>
      </c>
      <c r="Y211" s="703">
        <v>0</v>
      </c>
      <c r="Z211" s="703">
        <v>0</v>
      </c>
      <c r="AA211" s="703">
        <v>0</v>
      </c>
      <c r="AB211" s="703">
        <v>0</v>
      </c>
      <c r="AC211" s="703">
        <v>7208</v>
      </c>
      <c r="AD211" s="703">
        <v>0</v>
      </c>
      <c r="AE211" s="703">
        <v>7208</v>
      </c>
      <c r="AF211" s="702">
        <v>0</v>
      </c>
      <c r="AG211" s="702">
        <v>0</v>
      </c>
      <c r="AH211" s="702">
        <v>0</v>
      </c>
    </row>
    <row r="212" spans="1:36" s="33" customFormat="1" ht="14">
      <c r="A212" s="662" t="s">
        <v>1347</v>
      </c>
      <c r="B212" s="647">
        <f t="shared" si="53"/>
        <v>736267.0474964102</v>
      </c>
      <c r="C212" s="648">
        <f t="shared" si="54"/>
        <v>0</v>
      </c>
      <c r="D212" s="647">
        <f t="shared" si="55"/>
        <v>0</v>
      </c>
      <c r="E212" s="648">
        <f t="shared" si="56"/>
        <v>0</v>
      </c>
      <c r="F212" s="647">
        <f t="shared" si="57"/>
        <v>0</v>
      </c>
      <c r="G212" s="648">
        <f t="shared" si="58"/>
        <v>0</v>
      </c>
      <c r="H212" s="647">
        <f t="shared" si="59"/>
        <v>1486921.4291145566</v>
      </c>
      <c r="I212" s="648">
        <f t="shared" si="60"/>
        <v>0</v>
      </c>
      <c r="J212" s="647">
        <f t="shared" si="61"/>
        <v>0</v>
      </c>
      <c r="K212" s="648">
        <f t="shared" si="62"/>
        <v>0</v>
      </c>
      <c r="L212" s="646"/>
      <c r="M212" s="646"/>
      <c r="P212" s="704" t="s">
        <v>1347</v>
      </c>
      <c r="Q212" s="703">
        <v>50100</v>
      </c>
      <c r="R212" s="703">
        <v>0</v>
      </c>
      <c r="S212" s="703">
        <v>50100</v>
      </c>
      <c r="T212" s="703">
        <v>0</v>
      </c>
      <c r="U212" s="703">
        <v>0</v>
      </c>
      <c r="V212" s="703">
        <v>0</v>
      </c>
      <c r="W212" s="703">
        <v>0</v>
      </c>
      <c r="X212" s="703">
        <v>0</v>
      </c>
      <c r="Y212" s="703">
        <v>0</v>
      </c>
      <c r="Z212" s="703">
        <v>101179</v>
      </c>
      <c r="AA212" s="703">
        <v>0</v>
      </c>
      <c r="AB212" s="703">
        <v>101179</v>
      </c>
      <c r="AC212" s="703">
        <v>0</v>
      </c>
      <c r="AD212" s="703">
        <v>0</v>
      </c>
      <c r="AE212" s="703">
        <v>0</v>
      </c>
      <c r="AF212" s="702">
        <v>0</v>
      </c>
      <c r="AG212" s="702">
        <v>0</v>
      </c>
      <c r="AH212" s="702">
        <v>0</v>
      </c>
      <c r="AJ212" s="28"/>
    </row>
    <row r="213" spans="1:36" s="33" customFormat="1" ht="14">
      <c r="A213" s="655"/>
      <c r="B213" s="663"/>
      <c r="C213" s="663"/>
      <c r="D213" s="663"/>
      <c r="E213" s="663"/>
      <c r="F213" s="663"/>
      <c r="G213" s="663"/>
      <c r="H213" s="663"/>
      <c r="I213" s="663"/>
      <c r="J213" s="663"/>
      <c r="K213" s="663"/>
      <c r="L213" s="664"/>
      <c r="M213" s="664"/>
      <c r="P213" s="705" t="s">
        <v>196</v>
      </c>
      <c r="Q213" s="706">
        <v>423925</v>
      </c>
      <c r="R213" s="706">
        <v>38955</v>
      </c>
      <c r="S213" s="706">
        <v>462880</v>
      </c>
      <c r="T213" s="706">
        <v>132352</v>
      </c>
      <c r="U213" s="706">
        <v>182432</v>
      </c>
      <c r="V213" s="706">
        <v>314784</v>
      </c>
      <c r="W213" s="706">
        <v>325236</v>
      </c>
      <c r="X213" s="706">
        <v>0</v>
      </c>
      <c r="Y213" s="706">
        <v>325236</v>
      </c>
      <c r="Z213" s="706">
        <v>133020</v>
      </c>
      <c r="AA213" s="706">
        <v>24496</v>
      </c>
      <c r="AB213" s="706">
        <v>157516</v>
      </c>
      <c r="AC213" s="706">
        <v>10828</v>
      </c>
      <c r="AD213" s="706">
        <v>36889</v>
      </c>
      <c r="AE213" s="706">
        <v>47717</v>
      </c>
      <c r="AF213" s="706">
        <v>541490</v>
      </c>
      <c r="AG213" s="706">
        <v>129655</v>
      </c>
      <c r="AH213" s="706">
        <v>671145</v>
      </c>
      <c r="AI213" s="140">
        <f>S213+V213+Y213+AB213+AE213+AH213</f>
        <v>1979278</v>
      </c>
      <c r="AJ213" s="654"/>
    </row>
    <row r="214" spans="1:36" s="33" customFormat="1" ht="14">
      <c r="A214" s="28"/>
      <c r="B214" s="666"/>
      <c r="C214" s="666"/>
      <c r="D214" s="666"/>
      <c r="E214" s="666"/>
      <c r="F214" s="28"/>
      <c r="G214" s="28"/>
      <c r="H214" s="28"/>
      <c r="I214" s="666"/>
      <c r="J214" s="666"/>
      <c r="K214" s="666"/>
      <c r="L214" s="666"/>
      <c r="M214" s="666"/>
      <c r="N214" s="666"/>
    </row>
    <row r="215" spans="1:36" s="33" customFormat="1" ht="14.5" thickBot="1">
      <c r="H215" s="57"/>
      <c r="I215" s="37"/>
      <c r="J215" s="37"/>
      <c r="N215" s="209"/>
    </row>
    <row r="216" spans="1:36" s="33" customFormat="1" ht="13" thickBot="1">
      <c r="A216" s="883" t="s">
        <v>1440</v>
      </c>
      <c r="B216" s="884"/>
      <c r="C216" s="884"/>
      <c r="D216" s="884"/>
      <c r="E216" s="884"/>
      <c r="F216" s="884"/>
      <c r="G216" s="884"/>
      <c r="H216" s="884"/>
      <c r="I216" s="884"/>
      <c r="J216" s="884"/>
      <c r="K216" s="884"/>
      <c r="L216" s="884"/>
      <c r="M216" s="885"/>
      <c r="N216" s="139"/>
      <c r="P216" s="872" t="s">
        <v>1441</v>
      </c>
      <c r="Q216" s="878" t="s">
        <v>1440</v>
      </c>
      <c r="R216" s="879"/>
      <c r="S216" s="879"/>
      <c r="T216" s="879"/>
      <c r="U216" s="879"/>
      <c r="V216" s="879"/>
      <c r="W216" s="879"/>
      <c r="X216" s="879"/>
      <c r="Y216" s="879"/>
      <c r="Z216" s="879"/>
      <c r="AA216" s="879"/>
      <c r="AB216" s="879"/>
      <c r="AC216" s="879"/>
      <c r="AD216" s="879"/>
      <c r="AE216" s="880"/>
      <c r="AF216" s="880"/>
      <c r="AG216" s="880"/>
      <c r="AH216" s="881"/>
    </row>
    <row r="217" spans="1:36" s="33" customFormat="1" ht="24" customHeight="1" thickBot="1">
      <c r="A217" s="906" t="s">
        <v>1361</v>
      </c>
      <c r="B217" s="876" t="s">
        <v>1442</v>
      </c>
      <c r="C217" s="874"/>
      <c r="D217" s="876" t="s">
        <v>1443</v>
      </c>
      <c r="E217" s="874"/>
      <c r="F217" s="876" t="s">
        <v>1444</v>
      </c>
      <c r="G217" s="874"/>
      <c r="H217" s="876" t="s">
        <v>1445</v>
      </c>
      <c r="I217" s="874"/>
      <c r="J217" s="876" t="s">
        <v>1446</v>
      </c>
      <c r="K217" s="874"/>
      <c r="L217" s="876" t="s">
        <v>1447</v>
      </c>
      <c r="M217" s="874"/>
      <c r="P217" s="905" t="s">
        <v>1365</v>
      </c>
      <c r="Q217" s="878" t="s">
        <v>232</v>
      </c>
      <c r="R217" s="879"/>
      <c r="S217" s="882"/>
      <c r="T217" s="878" t="s">
        <v>212</v>
      </c>
      <c r="U217" s="879"/>
      <c r="V217" s="882"/>
      <c r="W217" s="878" t="s">
        <v>228</v>
      </c>
      <c r="X217" s="879"/>
      <c r="Y217" s="882"/>
      <c r="Z217" s="878" t="s">
        <v>229</v>
      </c>
      <c r="AA217" s="879"/>
      <c r="AB217" s="882"/>
      <c r="AC217" s="878" t="s">
        <v>231</v>
      </c>
      <c r="AD217" s="879"/>
      <c r="AE217" s="882"/>
      <c r="AF217" s="878" t="s">
        <v>230</v>
      </c>
      <c r="AG217" s="879"/>
      <c r="AH217" s="882"/>
    </row>
    <row r="218" spans="1:36" s="33" customFormat="1" ht="13.5" customHeight="1" thickBot="1">
      <c r="A218" s="907"/>
      <c r="B218" s="877"/>
      <c r="C218" s="875"/>
      <c r="D218" s="877"/>
      <c r="E218" s="875"/>
      <c r="F218" s="877"/>
      <c r="G218" s="875"/>
      <c r="H218" s="877"/>
      <c r="I218" s="875"/>
      <c r="J218" s="877"/>
      <c r="K218" s="875"/>
      <c r="L218" s="877"/>
      <c r="M218" s="875"/>
      <c r="P218" s="873">
        <v>0</v>
      </c>
      <c r="Q218" s="217" t="s">
        <v>1362</v>
      </c>
      <c r="R218" s="64" t="s">
        <v>1363</v>
      </c>
      <c r="S218" s="218" t="s">
        <v>1387</v>
      </c>
      <c r="T218" s="217" t="s">
        <v>1362</v>
      </c>
      <c r="U218" s="64" t="s">
        <v>1363</v>
      </c>
      <c r="V218" s="218" t="s">
        <v>1387</v>
      </c>
      <c r="W218" s="217" t="s">
        <v>1362</v>
      </c>
      <c r="X218" s="64" t="s">
        <v>1363</v>
      </c>
      <c r="Y218" s="218" t="s">
        <v>1387</v>
      </c>
      <c r="Z218" s="217" t="s">
        <v>1362</v>
      </c>
      <c r="AA218" s="64" t="s">
        <v>1363</v>
      </c>
      <c r="AB218" s="218" t="s">
        <v>1387</v>
      </c>
      <c r="AC218" s="217" t="s">
        <v>1362</v>
      </c>
      <c r="AD218" s="64" t="s">
        <v>1363</v>
      </c>
      <c r="AE218" s="218" t="s">
        <v>1387</v>
      </c>
      <c r="AF218" s="217" t="s">
        <v>1362</v>
      </c>
      <c r="AG218" s="64" t="s">
        <v>1363</v>
      </c>
      <c r="AH218" s="218" t="s">
        <v>1387</v>
      </c>
    </row>
    <row r="219" spans="1:36" s="33" customFormat="1" ht="14">
      <c r="A219" s="187" t="s">
        <v>2423</v>
      </c>
      <c r="B219" s="647">
        <f t="shared" ref="B219:B237" si="63">$S219*$H36</f>
        <v>0</v>
      </c>
      <c r="C219" s="648"/>
      <c r="D219" s="647">
        <f t="shared" ref="D219:D237" si="64">$V219*$H36</f>
        <v>0</v>
      </c>
      <c r="E219" s="648"/>
      <c r="F219" s="647">
        <f t="shared" ref="F219:F237" si="65">Y219*$H36</f>
        <v>0</v>
      </c>
      <c r="G219" s="648"/>
      <c r="H219" s="647">
        <f t="shared" ref="H219:H237" si="66">AB219*$H36</f>
        <v>0</v>
      </c>
      <c r="I219" s="648"/>
      <c r="J219" s="647">
        <f t="shared" ref="J219:J237" si="67">AE219*$H36</f>
        <v>0</v>
      </c>
      <c r="K219" s="648"/>
      <c r="L219" s="647">
        <f t="shared" ref="L219:L237" si="68">AH219*$H36</f>
        <v>0</v>
      </c>
      <c r="M219" s="648"/>
      <c r="P219" s="188" t="s">
        <v>2423</v>
      </c>
      <c r="Q219" s="714"/>
      <c r="R219" s="714"/>
      <c r="S219" s="703">
        <v>0</v>
      </c>
      <c r="T219" s="714"/>
      <c r="U219" s="714"/>
      <c r="V219" s="703">
        <v>0</v>
      </c>
      <c r="W219" s="714"/>
      <c r="X219" s="714"/>
      <c r="Y219" s="703">
        <v>0</v>
      </c>
      <c r="Z219" s="714"/>
      <c r="AA219" s="714"/>
      <c r="AB219" s="703">
        <v>0</v>
      </c>
      <c r="AC219" s="714"/>
      <c r="AD219" s="714"/>
      <c r="AE219" s="703">
        <v>0</v>
      </c>
      <c r="AF219" s="714"/>
      <c r="AG219" s="714"/>
      <c r="AH219" s="703">
        <v>0</v>
      </c>
    </row>
    <row r="220" spans="1:36" s="33" customFormat="1" ht="14">
      <c r="A220" s="650" t="s">
        <v>1330</v>
      </c>
      <c r="B220" s="647">
        <f t="shared" si="63"/>
        <v>0</v>
      </c>
      <c r="C220" s="648"/>
      <c r="D220" s="647">
        <f t="shared" si="64"/>
        <v>0</v>
      </c>
      <c r="E220" s="648"/>
      <c r="F220" s="647">
        <f t="shared" si="65"/>
        <v>0</v>
      </c>
      <c r="G220" s="648"/>
      <c r="H220" s="647">
        <f t="shared" si="66"/>
        <v>0</v>
      </c>
      <c r="I220" s="648"/>
      <c r="J220" s="647">
        <f t="shared" si="67"/>
        <v>0</v>
      </c>
      <c r="K220" s="648"/>
      <c r="L220" s="647">
        <f t="shared" si="68"/>
        <v>0</v>
      </c>
      <c r="M220" s="648"/>
      <c r="P220" s="704" t="s">
        <v>1330</v>
      </c>
      <c r="Q220" s="714"/>
      <c r="R220" s="714"/>
      <c r="S220" s="703">
        <v>0</v>
      </c>
      <c r="T220" s="714"/>
      <c r="U220" s="714"/>
      <c r="V220" s="703">
        <v>0</v>
      </c>
      <c r="W220" s="714"/>
      <c r="X220" s="714"/>
      <c r="Y220" s="703">
        <v>0</v>
      </c>
      <c r="Z220" s="714"/>
      <c r="AA220" s="714"/>
      <c r="AB220" s="703">
        <v>0</v>
      </c>
      <c r="AC220" s="714"/>
      <c r="AD220" s="714"/>
      <c r="AE220" s="703">
        <v>0</v>
      </c>
      <c r="AF220" s="714"/>
      <c r="AG220" s="714"/>
      <c r="AH220" s="703">
        <v>0</v>
      </c>
    </row>
    <row r="221" spans="1:36" s="33" customFormat="1" ht="14">
      <c r="A221" s="650" t="s">
        <v>1331</v>
      </c>
      <c r="B221" s="647">
        <f t="shared" si="63"/>
        <v>0</v>
      </c>
      <c r="C221" s="648"/>
      <c r="D221" s="647">
        <f t="shared" si="64"/>
        <v>0</v>
      </c>
      <c r="E221" s="648"/>
      <c r="F221" s="647">
        <f t="shared" si="65"/>
        <v>0</v>
      </c>
      <c r="G221" s="648"/>
      <c r="H221" s="647">
        <f t="shared" si="66"/>
        <v>0</v>
      </c>
      <c r="I221" s="648"/>
      <c r="J221" s="647">
        <f t="shared" si="67"/>
        <v>0</v>
      </c>
      <c r="K221" s="648"/>
      <c r="L221" s="647">
        <f t="shared" si="68"/>
        <v>0</v>
      </c>
      <c r="M221" s="648"/>
      <c r="P221" s="704" t="s">
        <v>1331</v>
      </c>
      <c r="Q221" s="714"/>
      <c r="R221" s="714"/>
      <c r="S221" s="703">
        <v>0</v>
      </c>
      <c r="T221" s="714"/>
      <c r="U221" s="714"/>
      <c r="V221" s="703">
        <v>0</v>
      </c>
      <c r="W221" s="714"/>
      <c r="X221" s="714"/>
      <c r="Y221" s="703">
        <v>0</v>
      </c>
      <c r="Z221" s="714"/>
      <c r="AA221" s="714"/>
      <c r="AB221" s="703">
        <v>0</v>
      </c>
      <c r="AC221" s="714"/>
      <c r="AD221" s="714"/>
      <c r="AE221" s="703">
        <v>0</v>
      </c>
      <c r="AF221" s="714"/>
      <c r="AG221" s="714"/>
      <c r="AH221" s="703">
        <v>0</v>
      </c>
    </row>
    <row r="222" spans="1:36" s="33" customFormat="1" ht="14">
      <c r="A222" s="650" t="s">
        <v>1332</v>
      </c>
      <c r="B222" s="647">
        <f t="shared" si="63"/>
        <v>0</v>
      </c>
      <c r="C222" s="648"/>
      <c r="D222" s="647">
        <f t="shared" si="64"/>
        <v>0</v>
      </c>
      <c r="E222" s="648"/>
      <c r="F222" s="647">
        <f t="shared" si="65"/>
        <v>0</v>
      </c>
      <c r="G222" s="648"/>
      <c r="H222" s="647">
        <f t="shared" si="66"/>
        <v>0</v>
      </c>
      <c r="I222" s="648"/>
      <c r="J222" s="647">
        <f t="shared" si="67"/>
        <v>0</v>
      </c>
      <c r="K222" s="648"/>
      <c r="L222" s="647">
        <f t="shared" si="68"/>
        <v>0</v>
      </c>
      <c r="M222" s="648"/>
      <c r="P222" s="704" t="s">
        <v>1332</v>
      </c>
      <c r="Q222" s="714"/>
      <c r="R222" s="714"/>
      <c r="S222" s="703">
        <v>0</v>
      </c>
      <c r="T222" s="714"/>
      <c r="U222" s="714"/>
      <c r="V222" s="703">
        <v>0</v>
      </c>
      <c r="W222" s="714"/>
      <c r="X222" s="714"/>
      <c r="Y222" s="703">
        <v>0</v>
      </c>
      <c r="Z222" s="714"/>
      <c r="AA222" s="714"/>
      <c r="AB222" s="703">
        <v>0</v>
      </c>
      <c r="AC222" s="714"/>
      <c r="AD222" s="714"/>
      <c r="AE222" s="703">
        <v>0</v>
      </c>
      <c r="AF222" s="714"/>
      <c r="AG222" s="714"/>
      <c r="AH222" s="703">
        <v>0</v>
      </c>
    </row>
    <row r="223" spans="1:36" s="33" customFormat="1" ht="14">
      <c r="A223" s="650" t="s">
        <v>1333</v>
      </c>
      <c r="B223" s="647">
        <f t="shared" si="63"/>
        <v>0</v>
      </c>
      <c r="C223" s="648"/>
      <c r="D223" s="647">
        <f t="shared" si="64"/>
        <v>0</v>
      </c>
      <c r="E223" s="648"/>
      <c r="F223" s="647">
        <f t="shared" si="65"/>
        <v>0</v>
      </c>
      <c r="G223" s="648"/>
      <c r="H223" s="647">
        <f t="shared" si="66"/>
        <v>0</v>
      </c>
      <c r="I223" s="648"/>
      <c r="J223" s="647">
        <f t="shared" si="67"/>
        <v>0</v>
      </c>
      <c r="K223" s="648"/>
      <c r="L223" s="647">
        <f t="shared" si="68"/>
        <v>0</v>
      </c>
      <c r="M223" s="648"/>
      <c r="P223" s="704" t="s">
        <v>1333</v>
      </c>
      <c r="Q223" s="714"/>
      <c r="R223" s="714"/>
      <c r="S223" s="703">
        <v>0</v>
      </c>
      <c r="T223" s="714"/>
      <c r="U223" s="714"/>
      <c r="V223" s="703">
        <v>0</v>
      </c>
      <c r="W223" s="714"/>
      <c r="X223" s="714"/>
      <c r="Y223" s="703">
        <v>0</v>
      </c>
      <c r="Z223" s="714"/>
      <c r="AA223" s="714"/>
      <c r="AB223" s="703">
        <v>0</v>
      </c>
      <c r="AC223" s="714"/>
      <c r="AD223" s="714"/>
      <c r="AE223" s="703">
        <v>0</v>
      </c>
      <c r="AF223" s="714"/>
      <c r="AG223" s="714"/>
      <c r="AH223" s="703">
        <v>0</v>
      </c>
    </row>
    <row r="224" spans="1:36" s="33" customFormat="1" ht="14">
      <c r="A224" s="650" t="s">
        <v>1334</v>
      </c>
      <c r="B224" s="647">
        <f t="shared" si="63"/>
        <v>0</v>
      </c>
      <c r="C224" s="648"/>
      <c r="D224" s="647">
        <f t="shared" si="64"/>
        <v>0</v>
      </c>
      <c r="E224" s="648"/>
      <c r="F224" s="647">
        <f t="shared" si="65"/>
        <v>0</v>
      </c>
      <c r="G224" s="648"/>
      <c r="H224" s="647">
        <f t="shared" si="66"/>
        <v>0</v>
      </c>
      <c r="I224" s="648"/>
      <c r="J224" s="647">
        <f t="shared" si="67"/>
        <v>0</v>
      </c>
      <c r="K224" s="648"/>
      <c r="L224" s="647">
        <f t="shared" si="68"/>
        <v>0</v>
      </c>
      <c r="M224" s="648"/>
      <c r="P224" s="704" t="s">
        <v>1334</v>
      </c>
      <c r="Q224" s="714"/>
      <c r="R224" s="714"/>
      <c r="S224" s="703">
        <v>0</v>
      </c>
      <c r="T224" s="714"/>
      <c r="U224" s="714"/>
      <c r="V224" s="703">
        <v>0</v>
      </c>
      <c r="W224" s="714"/>
      <c r="X224" s="714"/>
      <c r="Y224" s="703">
        <v>0</v>
      </c>
      <c r="Z224" s="714"/>
      <c r="AA224" s="714"/>
      <c r="AB224" s="703">
        <v>0</v>
      </c>
      <c r="AC224" s="714"/>
      <c r="AD224" s="714"/>
      <c r="AE224" s="703">
        <v>0</v>
      </c>
      <c r="AF224" s="714"/>
      <c r="AG224" s="714"/>
      <c r="AH224" s="703">
        <v>0</v>
      </c>
    </row>
    <row r="225" spans="1:35" s="33" customFormat="1" ht="14">
      <c r="A225" s="650" t="s">
        <v>1335</v>
      </c>
      <c r="B225" s="647">
        <f t="shared" si="63"/>
        <v>0</v>
      </c>
      <c r="C225" s="648"/>
      <c r="D225" s="647">
        <f t="shared" si="64"/>
        <v>0</v>
      </c>
      <c r="E225" s="648"/>
      <c r="F225" s="647">
        <f t="shared" si="65"/>
        <v>0</v>
      </c>
      <c r="G225" s="648"/>
      <c r="H225" s="647">
        <f t="shared" si="66"/>
        <v>0</v>
      </c>
      <c r="I225" s="648"/>
      <c r="J225" s="647">
        <f t="shared" si="67"/>
        <v>0</v>
      </c>
      <c r="K225" s="648"/>
      <c r="L225" s="647">
        <f t="shared" si="68"/>
        <v>0</v>
      </c>
      <c r="M225" s="648"/>
      <c r="P225" s="704" t="s">
        <v>1335</v>
      </c>
      <c r="Q225" s="714"/>
      <c r="R225" s="714"/>
      <c r="S225" s="703">
        <v>0</v>
      </c>
      <c r="T225" s="714"/>
      <c r="U225" s="714"/>
      <c r="V225" s="703">
        <v>0</v>
      </c>
      <c r="W225" s="714"/>
      <c r="X225" s="714"/>
      <c r="Y225" s="703">
        <v>0</v>
      </c>
      <c r="Z225" s="714"/>
      <c r="AA225" s="714"/>
      <c r="AB225" s="703">
        <v>0</v>
      </c>
      <c r="AC225" s="714"/>
      <c r="AD225" s="714"/>
      <c r="AE225" s="703">
        <v>0</v>
      </c>
      <c r="AF225" s="714"/>
      <c r="AG225" s="714"/>
      <c r="AH225" s="703">
        <v>0</v>
      </c>
    </row>
    <row r="226" spans="1:35" s="33" customFormat="1" ht="14">
      <c r="A226" s="652" t="s">
        <v>1336</v>
      </c>
      <c r="B226" s="647">
        <f t="shared" si="63"/>
        <v>0</v>
      </c>
      <c r="C226" s="648"/>
      <c r="D226" s="647">
        <f t="shared" si="64"/>
        <v>0</v>
      </c>
      <c r="E226" s="648"/>
      <c r="F226" s="647">
        <f t="shared" si="65"/>
        <v>0</v>
      </c>
      <c r="G226" s="648"/>
      <c r="H226" s="647">
        <f t="shared" si="66"/>
        <v>0</v>
      </c>
      <c r="I226" s="648"/>
      <c r="J226" s="647">
        <f t="shared" si="67"/>
        <v>0</v>
      </c>
      <c r="K226" s="648"/>
      <c r="L226" s="647">
        <f t="shared" si="68"/>
        <v>0</v>
      </c>
      <c r="M226" s="648"/>
      <c r="P226" s="142" t="s">
        <v>1336</v>
      </c>
      <c r="Q226" s="714"/>
      <c r="R226" s="714"/>
      <c r="S226" s="703">
        <v>2557</v>
      </c>
      <c r="T226" s="714"/>
      <c r="U226" s="714"/>
      <c r="V226" s="703">
        <v>422072</v>
      </c>
      <c r="W226" s="714"/>
      <c r="X226" s="714"/>
      <c r="Y226" s="703">
        <v>0</v>
      </c>
      <c r="Z226" s="714"/>
      <c r="AA226" s="714"/>
      <c r="AB226" s="703">
        <v>0</v>
      </c>
      <c r="AC226" s="714"/>
      <c r="AD226" s="714"/>
      <c r="AE226" s="703">
        <v>8618</v>
      </c>
      <c r="AF226" s="714"/>
      <c r="AG226" s="714"/>
      <c r="AH226" s="703">
        <v>0</v>
      </c>
    </row>
    <row r="227" spans="1:35" s="33" customFormat="1" ht="14">
      <c r="A227" s="652" t="s">
        <v>1337</v>
      </c>
      <c r="B227" s="647">
        <f t="shared" si="63"/>
        <v>0</v>
      </c>
      <c r="C227" s="648"/>
      <c r="D227" s="647">
        <f t="shared" si="64"/>
        <v>0</v>
      </c>
      <c r="E227" s="648"/>
      <c r="F227" s="647">
        <f t="shared" si="65"/>
        <v>0</v>
      </c>
      <c r="G227" s="648"/>
      <c r="H227" s="647">
        <f t="shared" si="66"/>
        <v>0</v>
      </c>
      <c r="I227" s="648"/>
      <c r="J227" s="647">
        <f t="shared" si="67"/>
        <v>0</v>
      </c>
      <c r="K227" s="648"/>
      <c r="L227" s="647">
        <f t="shared" si="68"/>
        <v>0</v>
      </c>
      <c r="M227" s="648"/>
      <c r="P227" s="142" t="s">
        <v>1337</v>
      </c>
      <c r="Q227" s="714"/>
      <c r="R227" s="714"/>
      <c r="S227" s="703">
        <v>0</v>
      </c>
      <c r="T227" s="714"/>
      <c r="U227" s="714"/>
      <c r="V227" s="703">
        <v>0</v>
      </c>
      <c r="W227" s="714"/>
      <c r="X227" s="714"/>
      <c r="Y227" s="703">
        <v>0</v>
      </c>
      <c r="Z227" s="714"/>
      <c r="AA227" s="714"/>
      <c r="AB227" s="703">
        <v>0</v>
      </c>
      <c r="AC227" s="714"/>
      <c r="AD227" s="714"/>
      <c r="AE227" s="703">
        <v>0</v>
      </c>
      <c r="AF227" s="714"/>
      <c r="AG227" s="714"/>
      <c r="AH227" s="703">
        <v>0</v>
      </c>
    </row>
    <row r="228" spans="1:35" s="33" customFormat="1" ht="14">
      <c r="A228" s="650" t="s">
        <v>1338</v>
      </c>
      <c r="B228" s="647">
        <f t="shared" si="63"/>
        <v>0</v>
      </c>
      <c r="C228" s="648"/>
      <c r="D228" s="647">
        <f t="shared" si="64"/>
        <v>0</v>
      </c>
      <c r="E228" s="648"/>
      <c r="F228" s="647">
        <f t="shared" si="65"/>
        <v>0</v>
      </c>
      <c r="G228" s="648"/>
      <c r="H228" s="647">
        <f t="shared" si="66"/>
        <v>0</v>
      </c>
      <c r="I228" s="648"/>
      <c r="J228" s="647">
        <f t="shared" si="67"/>
        <v>0</v>
      </c>
      <c r="K228" s="648"/>
      <c r="L228" s="647">
        <f t="shared" si="68"/>
        <v>0</v>
      </c>
      <c r="M228" s="648"/>
      <c r="P228" s="704" t="s">
        <v>1338</v>
      </c>
      <c r="Q228" s="714"/>
      <c r="R228" s="714"/>
      <c r="S228" s="703">
        <v>0</v>
      </c>
      <c r="T228" s="714"/>
      <c r="U228" s="714"/>
      <c r="V228" s="703">
        <v>0</v>
      </c>
      <c r="W228" s="714"/>
      <c r="X228" s="714"/>
      <c r="Y228" s="703">
        <v>0</v>
      </c>
      <c r="Z228" s="714"/>
      <c r="AA228" s="714"/>
      <c r="AB228" s="703">
        <v>0</v>
      </c>
      <c r="AC228" s="714"/>
      <c r="AD228" s="714"/>
      <c r="AE228" s="703">
        <v>0</v>
      </c>
      <c r="AF228" s="714"/>
      <c r="AG228" s="714"/>
      <c r="AH228" s="703">
        <v>0</v>
      </c>
    </row>
    <row r="229" spans="1:35" s="33" customFormat="1" ht="14">
      <c r="A229" s="650" t="s">
        <v>1339</v>
      </c>
      <c r="B229" s="647">
        <f t="shared" si="63"/>
        <v>3000385.0941789453</v>
      </c>
      <c r="C229" s="648"/>
      <c r="D229" s="647">
        <f t="shared" si="64"/>
        <v>1458000.5425514034</v>
      </c>
      <c r="E229" s="648"/>
      <c r="F229" s="647">
        <f t="shared" si="65"/>
        <v>0</v>
      </c>
      <c r="G229" s="648"/>
      <c r="H229" s="647">
        <f t="shared" si="66"/>
        <v>2088721.3412516108</v>
      </c>
      <c r="I229" s="648"/>
      <c r="J229" s="647">
        <f t="shared" si="67"/>
        <v>79910.811922236535</v>
      </c>
      <c r="K229" s="648"/>
      <c r="L229" s="647">
        <f t="shared" si="68"/>
        <v>0</v>
      </c>
      <c r="M229" s="648"/>
      <c r="P229" s="704" t="s">
        <v>1339</v>
      </c>
      <c r="Q229" s="714"/>
      <c r="R229" s="714"/>
      <c r="S229" s="703">
        <v>252201</v>
      </c>
      <c r="T229" s="714"/>
      <c r="U229" s="714"/>
      <c r="V229" s="703">
        <v>122554</v>
      </c>
      <c r="W229" s="714"/>
      <c r="X229" s="714"/>
      <c r="Y229" s="703">
        <v>0</v>
      </c>
      <c r="Z229" s="714"/>
      <c r="AA229" s="714"/>
      <c r="AB229" s="703">
        <v>175570</v>
      </c>
      <c r="AC229" s="714"/>
      <c r="AD229" s="714"/>
      <c r="AE229" s="703">
        <v>6717</v>
      </c>
      <c r="AF229" s="714"/>
      <c r="AG229" s="714"/>
      <c r="AH229" s="703">
        <v>0</v>
      </c>
    </row>
    <row r="230" spans="1:35" s="33" customFormat="1" ht="14">
      <c r="A230" s="650" t="s">
        <v>1340</v>
      </c>
      <c r="B230" s="647">
        <f t="shared" si="63"/>
        <v>0</v>
      </c>
      <c r="C230" s="648"/>
      <c r="D230" s="647">
        <f t="shared" si="64"/>
        <v>0</v>
      </c>
      <c r="E230" s="648"/>
      <c r="F230" s="647">
        <f t="shared" si="65"/>
        <v>0</v>
      </c>
      <c r="G230" s="648"/>
      <c r="H230" s="647">
        <f t="shared" si="66"/>
        <v>0</v>
      </c>
      <c r="I230" s="648"/>
      <c r="J230" s="647">
        <f t="shared" si="67"/>
        <v>0</v>
      </c>
      <c r="K230" s="648"/>
      <c r="L230" s="647">
        <f t="shared" si="68"/>
        <v>0</v>
      </c>
      <c r="M230" s="648"/>
      <c r="P230" s="704" t="s">
        <v>1340</v>
      </c>
      <c r="Q230" s="714"/>
      <c r="R230" s="714"/>
      <c r="S230" s="703">
        <v>0</v>
      </c>
      <c r="T230" s="714"/>
      <c r="U230" s="714"/>
      <c r="V230" s="703">
        <v>0</v>
      </c>
      <c r="W230" s="714"/>
      <c r="X230" s="714"/>
      <c r="Y230" s="703">
        <v>0</v>
      </c>
      <c r="Z230" s="714"/>
      <c r="AA230" s="714"/>
      <c r="AB230" s="703">
        <v>0</v>
      </c>
      <c r="AC230" s="714"/>
      <c r="AD230" s="714"/>
      <c r="AE230" s="703">
        <v>0</v>
      </c>
      <c r="AF230" s="714"/>
      <c r="AG230" s="714"/>
      <c r="AH230" s="703">
        <v>0</v>
      </c>
    </row>
    <row r="231" spans="1:35" s="33" customFormat="1" ht="14">
      <c r="A231" s="650" t="s">
        <v>1341</v>
      </c>
      <c r="B231" s="647">
        <f t="shared" si="63"/>
        <v>0</v>
      </c>
      <c r="C231" s="648"/>
      <c r="D231" s="647">
        <f t="shared" si="64"/>
        <v>0</v>
      </c>
      <c r="E231" s="648"/>
      <c r="F231" s="647">
        <f t="shared" si="65"/>
        <v>0</v>
      </c>
      <c r="G231" s="648"/>
      <c r="H231" s="647">
        <f t="shared" si="66"/>
        <v>0</v>
      </c>
      <c r="I231" s="648"/>
      <c r="J231" s="647">
        <f t="shared" si="67"/>
        <v>0</v>
      </c>
      <c r="K231" s="648"/>
      <c r="L231" s="647">
        <f t="shared" si="68"/>
        <v>0</v>
      </c>
      <c r="M231" s="648"/>
      <c r="P231" s="704" t="s">
        <v>1341</v>
      </c>
      <c r="Q231" s="714"/>
      <c r="R231" s="714"/>
      <c r="S231" s="703">
        <v>0</v>
      </c>
      <c r="T231" s="714"/>
      <c r="U231" s="714"/>
      <c r="V231" s="703">
        <v>0</v>
      </c>
      <c r="W231" s="714"/>
      <c r="X231" s="714"/>
      <c r="Y231" s="703">
        <v>0</v>
      </c>
      <c r="Z231" s="714"/>
      <c r="AA231" s="714"/>
      <c r="AB231" s="703">
        <v>0</v>
      </c>
      <c r="AC231" s="714"/>
      <c r="AD231" s="714"/>
      <c r="AE231" s="703">
        <v>0</v>
      </c>
      <c r="AF231" s="714"/>
      <c r="AG231" s="714"/>
      <c r="AH231" s="703">
        <v>0</v>
      </c>
    </row>
    <row r="232" spans="1:35" s="33" customFormat="1" ht="14">
      <c r="A232" s="650" t="s">
        <v>1342</v>
      </c>
      <c r="B232" s="647">
        <f t="shared" si="63"/>
        <v>0</v>
      </c>
      <c r="C232" s="648"/>
      <c r="D232" s="647">
        <f t="shared" si="64"/>
        <v>0</v>
      </c>
      <c r="E232" s="648"/>
      <c r="F232" s="647">
        <f t="shared" si="65"/>
        <v>0</v>
      </c>
      <c r="G232" s="648"/>
      <c r="H232" s="647">
        <f t="shared" si="66"/>
        <v>0</v>
      </c>
      <c r="I232" s="648"/>
      <c r="J232" s="647">
        <f t="shared" si="67"/>
        <v>0</v>
      </c>
      <c r="K232" s="648"/>
      <c r="L232" s="647">
        <f t="shared" si="68"/>
        <v>0</v>
      </c>
      <c r="M232" s="648"/>
      <c r="P232" s="704" t="s">
        <v>1342</v>
      </c>
      <c r="Q232" s="714"/>
      <c r="R232" s="714"/>
      <c r="S232" s="703">
        <v>0</v>
      </c>
      <c r="T232" s="714"/>
      <c r="U232" s="714"/>
      <c r="V232" s="703">
        <v>0</v>
      </c>
      <c r="W232" s="714"/>
      <c r="X232" s="714"/>
      <c r="Y232" s="703">
        <v>0</v>
      </c>
      <c r="Z232" s="714"/>
      <c r="AA232" s="714"/>
      <c r="AB232" s="703">
        <v>0</v>
      </c>
      <c r="AC232" s="714"/>
      <c r="AD232" s="714"/>
      <c r="AE232" s="703">
        <v>0</v>
      </c>
      <c r="AF232" s="714"/>
      <c r="AG232" s="714"/>
      <c r="AH232" s="703">
        <v>0</v>
      </c>
    </row>
    <row r="233" spans="1:35" s="33" customFormat="1" ht="14">
      <c r="A233" s="650" t="s">
        <v>1343</v>
      </c>
      <c r="B233" s="647">
        <f t="shared" si="63"/>
        <v>0</v>
      </c>
      <c r="C233" s="648"/>
      <c r="D233" s="647">
        <f t="shared" si="64"/>
        <v>0</v>
      </c>
      <c r="E233" s="648"/>
      <c r="F233" s="647">
        <f t="shared" si="65"/>
        <v>0</v>
      </c>
      <c r="G233" s="648"/>
      <c r="H233" s="647">
        <f t="shared" si="66"/>
        <v>0</v>
      </c>
      <c r="I233" s="648"/>
      <c r="J233" s="647">
        <f t="shared" si="67"/>
        <v>0</v>
      </c>
      <c r="K233" s="648"/>
      <c r="L233" s="647">
        <f t="shared" si="68"/>
        <v>0</v>
      </c>
      <c r="M233" s="648"/>
      <c r="P233" s="704" t="s">
        <v>1343</v>
      </c>
      <c r="Q233" s="714"/>
      <c r="R233" s="714"/>
      <c r="S233" s="703">
        <v>0</v>
      </c>
      <c r="T233" s="714"/>
      <c r="U233" s="714"/>
      <c r="V233" s="703">
        <v>0</v>
      </c>
      <c r="W233" s="714"/>
      <c r="X233" s="714"/>
      <c r="Y233" s="703">
        <v>0</v>
      </c>
      <c r="Z233" s="714"/>
      <c r="AA233" s="714"/>
      <c r="AB233" s="703">
        <v>0</v>
      </c>
      <c r="AC233" s="714"/>
      <c r="AD233" s="714"/>
      <c r="AE233" s="703">
        <v>0</v>
      </c>
      <c r="AF233" s="714"/>
      <c r="AG233" s="714"/>
      <c r="AH233" s="703">
        <v>0</v>
      </c>
    </row>
    <row r="234" spans="1:35" s="33" customFormat="1" ht="14">
      <c r="A234" s="188" t="s">
        <v>1344</v>
      </c>
      <c r="B234" s="647">
        <f t="shared" si="63"/>
        <v>0</v>
      </c>
      <c r="C234" s="648"/>
      <c r="D234" s="647">
        <f t="shared" si="64"/>
        <v>0</v>
      </c>
      <c r="E234" s="648"/>
      <c r="F234" s="647">
        <f t="shared" si="65"/>
        <v>0</v>
      </c>
      <c r="G234" s="648"/>
      <c r="H234" s="647">
        <f t="shared" si="66"/>
        <v>0</v>
      </c>
      <c r="I234" s="648"/>
      <c r="J234" s="647">
        <f t="shared" si="67"/>
        <v>0</v>
      </c>
      <c r="K234" s="648"/>
      <c r="L234" s="647">
        <f t="shared" si="68"/>
        <v>0</v>
      </c>
      <c r="M234" s="648"/>
      <c r="P234" s="188" t="s">
        <v>1344</v>
      </c>
      <c r="Q234" s="714"/>
      <c r="R234" s="714"/>
      <c r="S234" s="703">
        <v>0</v>
      </c>
      <c r="T234" s="714"/>
      <c r="U234" s="714"/>
      <c r="V234" s="703">
        <v>0</v>
      </c>
      <c r="W234" s="714"/>
      <c r="X234" s="714"/>
      <c r="Y234" s="703">
        <v>0</v>
      </c>
      <c r="Z234" s="714"/>
      <c r="AA234" s="714"/>
      <c r="AB234" s="703">
        <v>0</v>
      </c>
      <c r="AC234" s="714"/>
      <c r="AD234" s="714"/>
      <c r="AE234" s="703">
        <v>0</v>
      </c>
      <c r="AF234" s="714"/>
      <c r="AG234" s="714"/>
      <c r="AH234" s="703">
        <v>0</v>
      </c>
    </row>
    <row r="235" spans="1:35" s="33" customFormat="1" ht="14">
      <c r="A235" s="650" t="s">
        <v>1345</v>
      </c>
      <c r="B235" s="647">
        <f t="shared" si="63"/>
        <v>0</v>
      </c>
      <c r="C235" s="648"/>
      <c r="D235" s="647">
        <f t="shared" si="64"/>
        <v>0</v>
      </c>
      <c r="E235" s="648"/>
      <c r="F235" s="647">
        <f t="shared" si="65"/>
        <v>0</v>
      </c>
      <c r="G235" s="648"/>
      <c r="H235" s="647">
        <f t="shared" si="66"/>
        <v>0</v>
      </c>
      <c r="I235" s="648"/>
      <c r="J235" s="647">
        <f t="shared" si="67"/>
        <v>0</v>
      </c>
      <c r="K235" s="648"/>
      <c r="L235" s="647">
        <f t="shared" si="68"/>
        <v>0</v>
      </c>
      <c r="M235" s="648"/>
      <c r="P235" s="704" t="s">
        <v>1345</v>
      </c>
      <c r="Q235" s="714"/>
      <c r="R235" s="714"/>
      <c r="S235" s="703">
        <v>0</v>
      </c>
      <c r="T235" s="714"/>
      <c r="U235" s="714"/>
      <c r="V235" s="703">
        <v>0</v>
      </c>
      <c r="W235" s="714"/>
      <c r="X235" s="714"/>
      <c r="Y235" s="703">
        <v>0</v>
      </c>
      <c r="Z235" s="714"/>
      <c r="AA235" s="714"/>
      <c r="AB235" s="703">
        <v>0</v>
      </c>
      <c r="AC235" s="714"/>
      <c r="AD235" s="714"/>
      <c r="AE235" s="703">
        <v>0</v>
      </c>
      <c r="AF235" s="714"/>
      <c r="AG235" s="714"/>
      <c r="AH235" s="703">
        <v>0</v>
      </c>
    </row>
    <row r="236" spans="1:35" s="33" customFormat="1" ht="14">
      <c r="A236" s="650" t="s">
        <v>1346</v>
      </c>
      <c r="B236" s="647">
        <f t="shared" si="63"/>
        <v>0</v>
      </c>
      <c r="C236" s="648"/>
      <c r="D236" s="647">
        <f t="shared" si="64"/>
        <v>0</v>
      </c>
      <c r="E236" s="648"/>
      <c r="F236" s="647">
        <f t="shared" si="65"/>
        <v>0</v>
      </c>
      <c r="G236" s="648"/>
      <c r="H236" s="647">
        <f t="shared" si="66"/>
        <v>0</v>
      </c>
      <c r="I236" s="648"/>
      <c r="J236" s="647">
        <f t="shared" si="67"/>
        <v>0</v>
      </c>
      <c r="K236" s="648"/>
      <c r="L236" s="647">
        <f t="shared" si="68"/>
        <v>0</v>
      </c>
      <c r="M236" s="648"/>
      <c r="P236" s="704" t="s">
        <v>1346</v>
      </c>
      <c r="Q236" s="714"/>
      <c r="R236" s="714"/>
      <c r="S236" s="703">
        <v>464495</v>
      </c>
      <c r="T236" s="714"/>
      <c r="U236" s="714"/>
      <c r="V236" s="703">
        <v>1213815</v>
      </c>
      <c r="W236" s="714"/>
      <c r="X236" s="714"/>
      <c r="Y236" s="703">
        <v>0</v>
      </c>
      <c r="Z236" s="714"/>
      <c r="AA236" s="714"/>
      <c r="AB236" s="703">
        <v>71150</v>
      </c>
      <c r="AC236" s="714"/>
      <c r="AD236" s="714"/>
      <c r="AE236" s="703">
        <v>216359</v>
      </c>
      <c r="AF236" s="714"/>
      <c r="AG236" s="714"/>
      <c r="AH236" s="703">
        <v>0</v>
      </c>
    </row>
    <row r="237" spans="1:35" s="33" customFormat="1" ht="14.5" thickBot="1">
      <c r="A237" s="662" t="s">
        <v>1347</v>
      </c>
      <c r="B237" s="647">
        <f t="shared" si="63"/>
        <v>0</v>
      </c>
      <c r="C237" s="648"/>
      <c r="D237" s="647">
        <f t="shared" si="64"/>
        <v>0</v>
      </c>
      <c r="E237" s="648"/>
      <c r="F237" s="647">
        <f t="shared" si="65"/>
        <v>0</v>
      </c>
      <c r="G237" s="648"/>
      <c r="H237" s="647">
        <f t="shared" si="66"/>
        <v>0</v>
      </c>
      <c r="I237" s="648"/>
      <c r="J237" s="647">
        <f t="shared" si="67"/>
        <v>0</v>
      </c>
      <c r="K237" s="648"/>
      <c r="L237" s="647">
        <f t="shared" si="68"/>
        <v>0</v>
      </c>
      <c r="M237" s="648"/>
      <c r="P237" s="704" t="s">
        <v>1347</v>
      </c>
      <c r="Q237" s="714"/>
      <c r="R237" s="714"/>
      <c r="S237" s="703">
        <v>0</v>
      </c>
      <c r="T237" s="714"/>
      <c r="U237" s="714"/>
      <c r="V237" s="703">
        <v>0</v>
      </c>
      <c r="W237" s="714"/>
      <c r="X237" s="714"/>
      <c r="Y237" s="703">
        <v>0</v>
      </c>
      <c r="Z237" s="714"/>
      <c r="AA237" s="714"/>
      <c r="AB237" s="703">
        <v>0</v>
      </c>
      <c r="AC237" s="714"/>
      <c r="AD237" s="714"/>
      <c r="AE237" s="703">
        <v>0</v>
      </c>
      <c r="AF237" s="714"/>
      <c r="AG237" s="714"/>
      <c r="AH237" s="703">
        <v>0</v>
      </c>
    </row>
    <row r="238" spans="1:35" s="33" customFormat="1" ht="14.5" thickBot="1">
      <c r="A238" s="662" t="s">
        <v>2442</v>
      </c>
      <c r="B238" s="647"/>
      <c r="C238" s="648"/>
      <c r="D238" s="647"/>
      <c r="E238" s="648"/>
      <c r="F238" s="647"/>
      <c r="G238" s="648"/>
      <c r="H238" s="647"/>
      <c r="I238" s="648"/>
      <c r="J238" s="647"/>
      <c r="K238" s="648"/>
      <c r="L238" s="647"/>
      <c r="M238" s="648"/>
      <c r="P238" s="715" t="s">
        <v>2430</v>
      </c>
      <c r="Q238" s="714"/>
      <c r="R238" s="714"/>
      <c r="S238" s="703">
        <v>0</v>
      </c>
      <c r="T238" s="714"/>
      <c r="U238" s="714"/>
      <c r="V238" s="703">
        <v>0</v>
      </c>
      <c r="W238" s="714"/>
      <c r="X238" s="714"/>
      <c r="Y238" s="703">
        <v>0</v>
      </c>
      <c r="Z238" s="714"/>
      <c r="AA238" s="714"/>
      <c r="AB238" s="703">
        <v>0</v>
      </c>
      <c r="AC238" s="714"/>
      <c r="AD238" s="714"/>
      <c r="AE238" s="703">
        <v>0</v>
      </c>
      <c r="AF238" s="714"/>
      <c r="AG238" s="714"/>
      <c r="AH238" s="716">
        <v>108158</v>
      </c>
      <c r="AI238" s="676">
        <f>S238+V238+Y238+AB238+AE238+AH238</f>
        <v>108158</v>
      </c>
    </row>
    <row r="239" spans="1:35" s="33" customFormat="1" ht="14">
      <c r="A239" s="655"/>
      <c r="B239" s="663"/>
      <c r="C239" s="663"/>
      <c r="D239" s="663"/>
      <c r="E239" s="663"/>
      <c r="F239" s="663"/>
      <c r="G239" s="663"/>
      <c r="H239" s="663"/>
      <c r="I239" s="663"/>
      <c r="J239" s="663"/>
      <c r="K239" s="663"/>
      <c r="L239" s="663"/>
      <c r="M239" s="663"/>
      <c r="P239" s="705" t="s">
        <v>196</v>
      </c>
      <c r="Q239" s="714"/>
      <c r="R239" s="714"/>
      <c r="S239" s="706">
        <v>719253</v>
      </c>
      <c r="T239" s="714"/>
      <c r="U239" s="714"/>
      <c r="V239" s="706">
        <v>1758441</v>
      </c>
      <c r="W239" s="714"/>
      <c r="X239" s="714"/>
      <c r="Y239" s="706">
        <v>0</v>
      </c>
      <c r="Z239" s="714"/>
      <c r="AA239" s="714"/>
      <c r="AB239" s="706">
        <v>246720</v>
      </c>
      <c r="AC239" s="714"/>
      <c r="AD239" s="714"/>
      <c r="AE239" s="706">
        <v>231694</v>
      </c>
      <c r="AF239" s="714"/>
      <c r="AG239" s="714"/>
      <c r="AH239" s="706">
        <v>108158</v>
      </c>
      <c r="AI239" s="140">
        <f>S239+V239+Y239+AB239+AE239+AH239</f>
        <v>3064266</v>
      </c>
    </row>
    <row r="240" spans="1:35" s="33" customFormat="1" ht="14">
      <c r="A240" s="665"/>
      <c r="B240" s="666"/>
      <c r="C240" s="666"/>
      <c r="D240" s="666"/>
      <c r="E240" s="666"/>
      <c r="F240" s="32"/>
      <c r="G240" s="32"/>
      <c r="H240" s="32"/>
      <c r="I240" s="666"/>
      <c r="J240" s="666"/>
      <c r="K240" s="666"/>
      <c r="L240" s="666"/>
      <c r="M240" s="666"/>
      <c r="N240" s="666"/>
      <c r="P240" s="28"/>
      <c r="Q240" s="145"/>
      <c r="R240" s="145"/>
      <c r="S240" s="717"/>
      <c r="T240" s="145"/>
      <c r="U240" s="145"/>
      <c r="V240" s="717"/>
      <c r="W240" s="145"/>
      <c r="X240" s="145"/>
      <c r="Y240" s="717"/>
      <c r="Z240" s="145"/>
      <c r="AA240" s="145"/>
      <c r="AB240" s="717"/>
      <c r="AC240" s="145"/>
      <c r="AD240" s="145"/>
      <c r="AE240" s="717"/>
      <c r="AF240" s="145"/>
      <c r="AG240" s="145"/>
      <c r="AH240" s="717"/>
    </row>
    <row r="241" spans="1:41" s="33" customFormat="1" ht="13" thickBot="1">
      <c r="A241" s="28"/>
      <c r="B241" s="28"/>
      <c r="C241" s="28"/>
      <c r="D241" s="28"/>
      <c r="E241" s="28"/>
      <c r="F241" s="28"/>
      <c r="G241" s="28"/>
      <c r="H241" s="28"/>
      <c r="I241" s="28"/>
      <c r="J241" s="28"/>
      <c r="K241" s="28"/>
      <c r="L241" s="28"/>
      <c r="M241" s="28"/>
      <c r="N241" s="32"/>
    </row>
    <row r="242" spans="1:41" s="33" customFormat="1" ht="21" customHeight="1" thickBot="1">
      <c r="A242" s="883" t="s">
        <v>2687</v>
      </c>
      <c r="B242" s="884"/>
      <c r="C242" s="884"/>
      <c r="D242" s="884"/>
      <c r="E242" s="884"/>
      <c r="F242" s="884"/>
      <c r="G242" s="884"/>
      <c r="H242" s="884"/>
      <c r="I242" s="884"/>
      <c r="J242" s="884"/>
      <c r="K242" s="884"/>
      <c r="L242" s="884"/>
      <c r="M242" s="885"/>
      <c r="N242" s="139"/>
      <c r="P242" s="677" t="s">
        <v>2675</v>
      </c>
      <c r="Q242" s="878" t="s">
        <v>2676</v>
      </c>
      <c r="R242" s="879"/>
      <c r="S242" s="879"/>
      <c r="T242" s="879"/>
      <c r="U242" s="879"/>
      <c r="V242" s="879"/>
      <c r="W242" s="879"/>
      <c r="X242" s="879"/>
      <c r="Y242" s="879"/>
      <c r="Z242" s="879"/>
      <c r="AA242" s="879"/>
      <c r="AB242" s="879"/>
      <c r="AC242" s="879"/>
      <c r="AD242" s="879"/>
      <c r="AE242" s="879"/>
      <c r="AF242" s="879"/>
      <c r="AG242" s="879"/>
      <c r="AH242" s="879"/>
      <c r="AI242" s="879"/>
      <c r="AJ242" s="879"/>
      <c r="AK242" s="879"/>
      <c r="AL242" s="879"/>
      <c r="AM242" s="879"/>
      <c r="AN242" s="882"/>
      <c r="AO242" s="138"/>
    </row>
    <row r="243" spans="1:41" s="33" customFormat="1" ht="24" customHeight="1" thickBot="1">
      <c r="A243" s="906" t="s">
        <v>1361</v>
      </c>
      <c r="B243" s="876" t="s">
        <v>1449</v>
      </c>
      <c r="C243" s="874"/>
      <c r="D243" s="876" t="s">
        <v>1450</v>
      </c>
      <c r="E243" s="874"/>
      <c r="F243" s="876" t="s">
        <v>1451</v>
      </c>
      <c r="G243" s="874"/>
      <c r="H243" s="876" t="s">
        <v>1452</v>
      </c>
      <c r="I243" s="874"/>
      <c r="J243" s="876" t="s">
        <v>1453</v>
      </c>
      <c r="K243" s="874"/>
      <c r="L243" s="876" t="s">
        <v>1454</v>
      </c>
      <c r="M243" s="874"/>
      <c r="P243" s="678" t="s">
        <v>2659</v>
      </c>
      <c r="Q243" s="878" t="s">
        <v>232</v>
      </c>
      <c r="R243" s="879"/>
      <c r="S243" s="879"/>
      <c r="T243" s="882"/>
      <c r="U243" s="878" t="s">
        <v>212</v>
      </c>
      <c r="V243" s="879"/>
      <c r="W243" s="879"/>
      <c r="X243" s="882"/>
      <c r="Y243" s="878" t="s">
        <v>228</v>
      </c>
      <c r="Z243" s="879"/>
      <c r="AA243" s="879"/>
      <c r="AB243" s="882"/>
      <c r="AC243" s="878" t="s">
        <v>229</v>
      </c>
      <c r="AD243" s="879"/>
      <c r="AE243" s="879"/>
      <c r="AF243" s="882"/>
      <c r="AG243" s="878" t="s">
        <v>231</v>
      </c>
      <c r="AH243" s="879"/>
      <c r="AI243" s="879"/>
      <c r="AJ243" s="882"/>
      <c r="AK243" s="878" t="s">
        <v>230</v>
      </c>
      <c r="AL243" s="879"/>
      <c r="AM243" s="879"/>
      <c r="AN243" s="879"/>
      <c r="AO243" s="910"/>
    </row>
    <row r="244" spans="1:41" s="33" customFormat="1" ht="22.5" customHeight="1" thickBot="1">
      <c r="A244" s="907"/>
      <c r="B244" s="877"/>
      <c r="C244" s="875"/>
      <c r="D244" s="877"/>
      <c r="E244" s="875"/>
      <c r="F244" s="877"/>
      <c r="G244" s="875"/>
      <c r="H244" s="877"/>
      <c r="I244" s="875"/>
      <c r="J244" s="877"/>
      <c r="K244" s="875"/>
      <c r="L244" s="877"/>
      <c r="M244" s="875"/>
      <c r="P244" s="718" t="s">
        <v>1448</v>
      </c>
      <c r="Q244" s="217" t="s">
        <v>2677</v>
      </c>
      <c r="R244" s="64" t="s">
        <v>2678</v>
      </c>
      <c r="S244" s="218" t="s">
        <v>2679</v>
      </c>
      <c r="T244" s="64" t="s">
        <v>2680</v>
      </c>
      <c r="U244" s="217" t="s">
        <v>2677</v>
      </c>
      <c r="V244" s="64" t="s">
        <v>2678</v>
      </c>
      <c r="W244" s="218" t="s">
        <v>2679</v>
      </c>
      <c r="X244" s="64" t="s">
        <v>2680</v>
      </c>
      <c r="Y244" s="217" t="s">
        <v>2677</v>
      </c>
      <c r="Z244" s="64" t="s">
        <v>2678</v>
      </c>
      <c r="AA244" s="218" t="s">
        <v>2679</v>
      </c>
      <c r="AB244" s="64" t="s">
        <v>2680</v>
      </c>
      <c r="AC244" s="217" t="s">
        <v>2677</v>
      </c>
      <c r="AD244" s="64" t="s">
        <v>2678</v>
      </c>
      <c r="AE244" s="218" t="s">
        <v>2679</v>
      </c>
      <c r="AF244" s="64" t="s">
        <v>2680</v>
      </c>
      <c r="AG244" s="217" t="s">
        <v>2677</v>
      </c>
      <c r="AH244" s="64" t="s">
        <v>2678</v>
      </c>
      <c r="AI244" s="218" t="s">
        <v>2679</v>
      </c>
      <c r="AJ244" s="64" t="s">
        <v>2680</v>
      </c>
      <c r="AK244" s="217" t="s">
        <v>2677</v>
      </c>
      <c r="AL244" s="64" t="s">
        <v>2678</v>
      </c>
      <c r="AM244" s="218" t="s">
        <v>2679</v>
      </c>
      <c r="AN244" s="219" t="s">
        <v>2680</v>
      </c>
      <c r="AO244" s="910"/>
    </row>
    <row r="245" spans="1:41" s="33" customFormat="1" ht="14">
      <c r="A245" s="187" t="s">
        <v>2423</v>
      </c>
      <c r="B245" s="647">
        <f t="shared" ref="B245:B263" si="69">$T245*$I36</f>
        <v>0</v>
      </c>
      <c r="C245" s="648"/>
      <c r="D245" s="647">
        <f t="shared" ref="D245:D263" si="70">$X245*$I36</f>
        <v>0</v>
      </c>
      <c r="E245" s="648"/>
      <c r="F245" s="647">
        <f t="shared" ref="F245:F263" si="71">AB245*$I36</f>
        <v>0</v>
      </c>
      <c r="G245" s="648"/>
      <c r="H245" s="647">
        <f t="shared" ref="H245:H263" si="72">AF245*$I36</f>
        <v>0</v>
      </c>
      <c r="I245" s="648"/>
      <c r="J245" s="647">
        <f t="shared" ref="J245:J263" si="73">AJ245*$I36</f>
        <v>0</v>
      </c>
      <c r="K245" s="648"/>
      <c r="L245" s="647">
        <f t="shared" ref="L245:L263" si="74">AN245*$I36</f>
        <v>0</v>
      </c>
      <c r="M245" s="679"/>
      <c r="P245" s="188" t="s">
        <v>2423</v>
      </c>
      <c r="Q245" s="703">
        <v>0</v>
      </c>
      <c r="R245" s="703">
        <v>0</v>
      </c>
      <c r="S245" s="703">
        <v>0</v>
      </c>
      <c r="T245" s="703">
        <v>0</v>
      </c>
      <c r="U245" s="703">
        <v>0</v>
      </c>
      <c r="V245" s="703">
        <v>0</v>
      </c>
      <c r="W245" s="703">
        <v>0</v>
      </c>
      <c r="X245" s="703">
        <v>0</v>
      </c>
      <c r="Y245" s="703">
        <v>0</v>
      </c>
      <c r="Z245" s="703">
        <v>0</v>
      </c>
      <c r="AA245" s="703">
        <v>0</v>
      </c>
      <c r="AB245" s="703">
        <v>0</v>
      </c>
      <c r="AC245" s="703">
        <v>0</v>
      </c>
      <c r="AD245" s="703">
        <v>0</v>
      </c>
      <c r="AE245" s="703">
        <v>0</v>
      </c>
      <c r="AF245" s="703">
        <v>0</v>
      </c>
      <c r="AG245" s="703">
        <v>0</v>
      </c>
      <c r="AH245" s="703">
        <v>0</v>
      </c>
      <c r="AI245" s="703">
        <v>0</v>
      </c>
      <c r="AJ245" s="703">
        <v>0</v>
      </c>
      <c r="AK245" s="703">
        <v>0</v>
      </c>
      <c r="AL245" s="703">
        <v>0</v>
      </c>
      <c r="AM245" s="703">
        <v>0</v>
      </c>
      <c r="AN245" s="719">
        <v>0</v>
      </c>
      <c r="AO245" s="720"/>
    </row>
    <row r="246" spans="1:41" s="33" customFormat="1" ht="14">
      <c r="A246" s="650" t="s">
        <v>1330</v>
      </c>
      <c r="B246" s="647">
        <f t="shared" si="69"/>
        <v>0</v>
      </c>
      <c r="C246" s="648"/>
      <c r="D246" s="647">
        <f t="shared" si="70"/>
        <v>0</v>
      </c>
      <c r="E246" s="648"/>
      <c r="F246" s="647">
        <f t="shared" si="71"/>
        <v>0</v>
      </c>
      <c r="G246" s="648"/>
      <c r="H246" s="647">
        <f t="shared" si="72"/>
        <v>0</v>
      </c>
      <c r="I246" s="648"/>
      <c r="J246" s="647">
        <f t="shared" si="73"/>
        <v>0</v>
      </c>
      <c r="K246" s="648"/>
      <c r="L246" s="647">
        <f t="shared" si="74"/>
        <v>0</v>
      </c>
      <c r="M246" s="648"/>
      <c r="P246" s="704" t="s">
        <v>1330</v>
      </c>
      <c r="Q246" s="703">
        <v>0</v>
      </c>
      <c r="R246" s="703">
        <v>0</v>
      </c>
      <c r="S246" s="703">
        <v>0</v>
      </c>
      <c r="T246" s="703">
        <v>0</v>
      </c>
      <c r="U246" s="703">
        <v>0</v>
      </c>
      <c r="V246" s="703">
        <v>0</v>
      </c>
      <c r="W246" s="703">
        <v>0</v>
      </c>
      <c r="X246" s="703">
        <v>0</v>
      </c>
      <c r="Y246" s="703">
        <v>0</v>
      </c>
      <c r="Z246" s="703">
        <v>0</v>
      </c>
      <c r="AA246" s="703">
        <v>0</v>
      </c>
      <c r="AB246" s="703">
        <v>0</v>
      </c>
      <c r="AC246" s="703">
        <v>0</v>
      </c>
      <c r="AD246" s="703">
        <v>0</v>
      </c>
      <c r="AE246" s="703">
        <v>0</v>
      </c>
      <c r="AF246" s="703">
        <v>0</v>
      </c>
      <c r="AG246" s="703">
        <v>0</v>
      </c>
      <c r="AH246" s="703">
        <v>0</v>
      </c>
      <c r="AI246" s="703">
        <v>0</v>
      </c>
      <c r="AJ246" s="703">
        <v>0</v>
      </c>
      <c r="AK246" s="703">
        <v>0</v>
      </c>
      <c r="AL246" s="703">
        <v>0</v>
      </c>
      <c r="AM246" s="703">
        <v>0</v>
      </c>
      <c r="AN246" s="719">
        <v>0</v>
      </c>
      <c r="AO246" s="720"/>
    </row>
    <row r="247" spans="1:41" s="33" customFormat="1" ht="14">
      <c r="A247" s="650" t="s">
        <v>1331</v>
      </c>
      <c r="B247" s="647">
        <f t="shared" si="69"/>
        <v>0</v>
      </c>
      <c r="C247" s="648"/>
      <c r="D247" s="647">
        <f t="shared" si="70"/>
        <v>0</v>
      </c>
      <c r="E247" s="648"/>
      <c r="F247" s="647">
        <f t="shared" si="71"/>
        <v>0</v>
      </c>
      <c r="G247" s="648"/>
      <c r="H247" s="647">
        <f t="shared" si="72"/>
        <v>0</v>
      </c>
      <c r="I247" s="648"/>
      <c r="J247" s="647">
        <f t="shared" si="73"/>
        <v>0</v>
      </c>
      <c r="K247" s="648"/>
      <c r="L247" s="647">
        <f t="shared" si="74"/>
        <v>0</v>
      </c>
      <c r="M247" s="648"/>
      <c r="P247" s="704" t="s">
        <v>1331</v>
      </c>
      <c r="Q247" s="703">
        <v>0</v>
      </c>
      <c r="R247" s="703">
        <v>0</v>
      </c>
      <c r="S247" s="703">
        <v>0</v>
      </c>
      <c r="T247" s="703">
        <v>0</v>
      </c>
      <c r="U247" s="703">
        <v>0</v>
      </c>
      <c r="V247" s="703">
        <v>0</v>
      </c>
      <c r="W247" s="703">
        <v>0</v>
      </c>
      <c r="X247" s="703">
        <v>0</v>
      </c>
      <c r="Y247" s="703">
        <v>0</v>
      </c>
      <c r="Z247" s="703">
        <v>0</v>
      </c>
      <c r="AA247" s="703">
        <v>0</v>
      </c>
      <c r="AB247" s="703">
        <v>0</v>
      </c>
      <c r="AC247" s="703">
        <v>0</v>
      </c>
      <c r="AD247" s="703">
        <v>0</v>
      </c>
      <c r="AE247" s="703">
        <v>0</v>
      </c>
      <c r="AF247" s="703">
        <v>0</v>
      </c>
      <c r="AG247" s="703">
        <v>0</v>
      </c>
      <c r="AH247" s="703">
        <v>0</v>
      </c>
      <c r="AI247" s="703">
        <v>0</v>
      </c>
      <c r="AJ247" s="703">
        <v>0</v>
      </c>
      <c r="AK247" s="703">
        <v>0</v>
      </c>
      <c r="AL247" s="703">
        <v>0</v>
      </c>
      <c r="AM247" s="703">
        <v>0</v>
      </c>
      <c r="AN247" s="719">
        <v>0</v>
      </c>
      <c r="AO247" s="720"/>
    </row>
    <row r="248" spans="1:41" s="33" customFormat="1" ht="14">
      <c r="A248" s="650" t="s">
        <v>1332</v>
      </c>
      <c r="B248" s="647">
        <f t="shared" si="69"/>
        <v>0</v>
      </c>
      <c r="C248" s="648"/>
      <c r="D248" s="647">
        <f t="shared" si="70"/>
        <v>0</v>
      </c>
      <c r="E248" s="648"/>
      <c r="F248" s="647">
        <f t="shared" si="71"/>
        <v>0</v>
      </c>
      <c r="G248" s="648"/>
      <c r="H248" s="647">
        <f t="shared" si="72"/>
        <v>0</v>
      </c>
      <c r="I248" s="648"/>
      <c r="J248" s="647">
        <f t="shared" si="73"/>
        <v>0</v>
      </c>
      <c r="K248" s="648"/>
      <c r="L248" s="647">
        <f t="shared" si="74"/>
        <v>0</v>
      </c>
      <c r="M248" s="648"/>
      <c r="P248" s="704" t="s">
        <v>1332</v>
      </c>
      <c r="Q248" s="703">
        <v>0</v>
      </c>
      <c r="R248" s="703">
        <v>0</v>
      </c>
      <c r="S248" s="703">
        <v>0</v>
      </c>
      <c r="T248" s="703">
        <v>0</v>
      </c>
      <c r="U248" s="703">
        <v>0</v>
      </c>
      <c r="V248" s="703">
        <v>0</v>
      </c>
      <c r="W248" s="703">
        <v>0</v>
      </c>
      <c r="X248" s="703">
        <v>0</v>
      </c>
      <c r="Y248" s="703">
        <v>0</v>
      </c>
      <c r="Z248" s="703">
        <v>0</v>
      </c>
      <c r="AA248" s="703">
        <v>0</v>
      </c>
      <c r="AB248" s="703">
        <v>0</v>
      </c>
      <c r="AC248" s="703">
        <v>0</v>
      </c>
      <c r="AD248" s="703">
        <v>0</v>
      </c>
      <c r="AE248" s="703">
        <v>0</v>
      </c>
      <c r="AF248" s="703">
        <v>0</v>
      </c>
      <c r="AG248" s="703">
        <v>0</v>
      </c>
      <c r="AH248" s="703">
        <v>0</v>
      </c>
      <c r="AI248" s="703">
        <v>0</v>
      </c>
      <c r="AJ248" s="703">
        <v>0</v>
      </c>
      <c r="AK248" s="703">
        <v>0</v>
      </c>
      <c r="AL248" s="703">
        <v>0</v>
      </c>
      <c r="AM248" s="703">
        <v>0</v>
      </c>
      <c r="AN248" s="719">
        <v>0</v>
      </c>
      <c r="AO248" s="720"/>
    </row>
    <row r="249" spans="1:41" s="33" customFormat="1" ht="14">
      <c r="A249" s="650" t="s">
        <v>1333</v>
      </c>
      <c r="B249" s="647">
        <f t="shared" si="69"/>
        <v>0</v>
      </c>
      <c r="C249" s="648"/>
      <c r="D249" s="647">
        <f t="shared" si="70"/>
        <v>0</v>
      </c>
      <c r="E249" s="648"/>
      <c r="F249" s="647">
        <f t="shared" si="71"/>
        <v>0</v>
      </c>
      <c r="G249" s="648"/>
      <c r="H249" s="647">
        <f t="shared" si="72"/>
        <v>0</v>
      </c>
      <c r="I249" s="648"/>
      <c r="J249" s="647">
        <f t="shared" si="73"/>
        <v>0</v>
      </c>
      <c r="K249" s="648"/>
      <c r="L249" s="647">
        <f t="shared" si="74"/>
        <v>0</v>
      </c>
      <c r="M249" s="648"/>
      <c r="P249" s="704" t="s">
        <v>1333</v>
      </c>
      <c r="Q249" s="703">
        <v>0</v>
      </c>
      <c r="R249" s="703">
        <v>0</v>
      </c>
      <c r="S249" s="703">
        <v>0</v>
      </c>
      <c r="T249" s="703">
        <v>0</v>
      </c>
      <c r="U249" s="703">
        <v>0</v>
      </c>
      <c r="V249" s="703">
        <v>0</v>
      </c>
      <c r="W249" s="703">
        <v>0</v>
      </c>
      <c r="X249" s="703">
        <v>0</v>
      </c>
      <c r="Y249" s="703">
        <v>0</v>
      </c>
      <c r="Z249" s="703">
        <v>0</v>
      </c>
      <c r="AA249" s="703">
        <v>0</v>
      </c>
      <c r="AB249" s="703">
        <v>0</v>
      </c>
      <c r="AC249" s="703">
        <v>0</v>
      </c>
      <c r="AD249" s="703">
        <v>0</v>
      </c>
      <c r="AE249" s="703">
        <v>0</v>
      </c>
      <c r="AF249" s="703">
        <v>0</v>
      </c>
      <c r="AG249" s="703">
        <v>0</v>
      </c>
      <c r="AH249" s="703">
        <v>0</v>
      </c>
      <c r="AI249" s="703">
        <v>0</v>
      </c>
      <c r="AJ249" s="703">
        <v>0</v>
      </c>
      <c r="AK249" s="703">
        <v>0</v>
      </c>
      <c r="AL249" s="703">
        <v>0</v>
      </c>
      <c r="AM249" s="703">
        <v>0</v>
      </c>
      <c r="AN249" s="719">
        <v>0</v>
      </c>
      <c r="AO249" s="720"/>
    </row>
    <row r="250" spans="1:41" s="33" customFormat="1" ht="14">
      <c r="A250" s="650" t="s">
        <v>1334</v>
      </c>
      <c r="B250" s="647">
        <f t="shared" si="69"/>
        <v>0</v>
      </c>
      <c r="C250" s="648"/>
      <c r="D250" s="647">
        <f t="shared" si="70"/>
        <v>0</v>
      </c>
      <c r="E250" s="648"/>
      <c r="F250" s="647">
        <f t="shared" si="71"/>
        <v>0</v>
      </c>
      <c r="G250" s="648"/>
      <c r="H250" s="647">
        <f t="shared" si="72"/>
        <v>0</v>
      </c>
      <c r="I250" s="648"/>
      <c r="J250" s="647">
        <f t="shared" si="73"/>
        <v>0</v>
      </c>
      <c r="K250" s="648"/>
      <c r="L250" s="647">
        <f t="shared" si="74"/>
        <v>0</v>
      </c>
      <c r="M250" s="648"/>
      <c r="P250" s="704" t="s">
        <v>1334</v>
      </c>
      <c r="Q250" s="703">
        <v>0</v>
      </c>
      <c r="R250" s="703">
        <v>0</v>
      </c>
      <c r="S250" s="703">
        <v>0</v>
      </c>
      <c r="T250" s="703">
        <v>0</v>
      </c>
      <c r="U250" s="703">
        <v>0</v>
      </c>
      <c r="V250" s="703">
        <v>0</v>
      </c>
      <c r="W250" s="703">
        <v>0</v>
      </c>
      <c r="X250" s="703">
        <v>0</v>
      </c>
      <c r="Y250" s="703">
        <v>0</v>
      </c>
      <c r="Z250" s="703">
        <v>0</v>
      </c>
      <c r="AA250" s="703">
        <v>0</v>
      </c>
      <c r="AB250" s="703">
        <v>0</v>
      </c>
      <c r="AC250" s="703">
        <v>0</v>
      </c>
      <c r="AD250" s="703">
        <v>0</v>
      </c>
      <c r="AE250" s="703">
        <v>0</v>
      </c>
      <c r="AF250" s="703">
        <v>0</v>
      </c>
      <c r="AG250" s="703">
        <v>0</v>
      </c>
      <c r="AH250" s="703">
        <v>0</v>
      </c>
      <c r="AI250" s="703">
        <v>0</v>
      </c>
      <c r="AJ250" s="703">
        <v>0</v>
      </c>
      <c r="AK250" s="703">
        <v>0</v>
      </c>
      <c r="AL250" s="703">
        <v>0</v>
      </c>
      <c r="AM250" s="703">
        <v>0</v>
      </c>
      <c r="AN250" s="719">
        <v>0</v>
      </c>
      <c r="AO250" s="720"/>
    </row>
    <row r="251" spans="1:41" s="33" customFormat="1" ht="14">
      <c r="A251" s="650" t="s">
        <v>1335</v>
      </c>
      <c r="B251" s="647">
        <f t="shared" si="69"/>
        <v>0</v>
      </c>
      <c r="C251" s="648"/>
      <c r="D251" s="647">
        <f t="shared" si="70"/>
        <v>0</v>
      </c>
      <c r="E251" s="648"/>
      <c r="F251" s="647">
        <f t="shared" si="71"/>
        <v>0</v>
      </c>
      <c r="G251" s="648"/>
      <c r="H251" s="647">
        <f t="shared" si="72"/>
        <v>0</v>
      </c>
      <c r="I251" s="648"/>
      <c r="J251" s="647">
        <f t="shared" si="73"/>
        <v>0</v>
      </c>
      <c r="K251" s="648"/>
      <c r="L251" s="647">
        <f t="shared" si="74"/>
        <v>0</v>
      </c>
      <c r="M251" s="648"/>
      <c r="P251" s="704" t="s">
        <v>1335</v>
      </c>
      <c r="Q251" s="703">
        <v>0</v>
      </c>
      <c r="R251" s="703">
        <v>0</v>
      </c>
      <c r="S251" s="703">
        <v>0</v>
      </c>
      <c r="T251" s="703">
        <v>0</v>
      </c>
      <c r="U251" s="703">
        <v>0</v>
      </c>
      <c r="V251" s="703">
        <v>0</v>
      </c>
      <c r="W251" s="703">
        <v>0</v>
      </c>
      <c r="X251" s="703">
        <v>0</v>
      </c>
      <c r="Y251" s="703">
        <v>0</v>
      </c>
      <c r="Z251" s="703">
        <v>0</v>
      </c>
      <c r="AA251" s="703">
        <v>0</v>
      </c>
      <c r="AB251" s="703">
        <v>0</v>
      </c>
      <c r="AC251" s="703">
        <v>0</v>
      </c>
      <c r="AD251" s="703">
        <v>0</v>
      </c>
      <c r="AE251" s="703">
        <v>0</v>
      </c>
      <c r="AF251" s="703">
        <v>0</v>
      </c>
      <c r="AG251" s="703">
        <v>0</v>
      </c>
      <c r="AH251" s="703">
        <v>0</v>
      </c>
      <c r="AI251" s="703">
        <v>0</v>
      </c>
      <c r="AJ251" s="703">
        <v>0</v>
      </c>
      <c r="AK251" s="703">
        <v>0</v>
      </c>
      <c r="AL251" s="703">
        <v>0</v>
      </c>
      <c r="AM251" s="703">
        <v>0</v>
      </c>
      <c r="AN251" s="719">
        <v>0</v>
      </c>
      <c r="AO251" s="720"/>
    </row>
    <row r="252" spans="1:41" s="33" customFormat="1" ht="14">
      <c r="A252" s="652" t="s">
        <v>1336</v>
      </c>
      <c r="B252" s="647">
        <f t="shared" si="69"/>
        <v>0</v>
      </c>
      <c r="C252" s="648"/>
      <c r="D252" s="647">
        <f t="shared" si="70"/>
        <v>0</v>
      </c>
      <c r="E252" s="648"/>
      <c r="F252" s="647">
        <f t="shared" si="71"/>
        <v>0</v>
      </c>
      <c r="G252" s="648"/>
      <c r="H252" s="647">
        <f t="shared" si="72"/>
        <v>0</v>
      </c>
      <c r="I252" s="648"/>
      <c r="J252" s="647">
        <f t="shared" si="73"/>
        <v>0</v>
      </c>
      <c r="K252" s="648"/>
      <c r="L252" s="647">
        <f t="shared" si="74"/>
        <v>0</v>
      </c>
      <c r="M252" s="648"/>
      <c r="P252" s="142" t="s">
        <v>1336</v>
      </c>
      <c r="Q252" s="703">
        <v>0</v>
      </c>
      <c r="R252" s="703">
        <v>0</v>
      </c>
      <c r="S252" s="703">
        <v>0</v>
      </c>
      <c r="T252" s="703">
        <v>0</v>
      </c>
      <c r="U252" s="703">
        <v>0</v>
      </c>
      <c r="V252" s="703">
        <v>0</v>
      </c>
      <c r="W252" s="703">
        <v>0</v>
      </c>
      <c r="X252" s="703">
        <v>0</v>
      </c>
      <c r="Y252" s="703">
        <v>0</v>
      </c>
      <c r="Z252" s="703">
        <v>0</v>
      </c>
      <c r="AA252" s="703">
        <v>0</v>
      </c>
      <c r="AB252" s="703">
        <v>0</v>
      </c>
      <c r="AC252" s="703">
        <v>0</v>
      </c>
      <c r="AD252" s="703">
        <v>0</v>
      </c>
      <c r="AE252" s="703">
        <v>0</v>
      </c>
      <c r="AF252" s="703">
        <v>0</v>
      </c>
      <c r="AG252" s="703">
        <v>0</v>
      </c>
      <c r="AH252" s="703">
        <v>0</v>
      </c>
      <c r="AI252" s="703">
        <v>0</v>
      </c>
      <c r="AJ252" s="703">
        <v>0</v>
      </c>
      <c r="AK252" s="703">
        <v>0</v>
      </c>
      <c r="AL252" s="703">
        <v>0</v>
      </c>
      <c r="AM252" s="703">
        <v>0</v>
      </c>
      <c r="AN252" s="719">
        <v>0</v>
      </c>
      <c r="AO252" s="720"/>
    </row>
    <row r="253" spans="1:41" s="33" customFormat="1" ht="14">
      <c r="A253" s="652" t="s">
        <v>1337</v>
      </c>
      <c r="B253" s="647">
        <f t="shared" si="69"/>
        <v>0</v>
      </c>
      <c r="C253" s="648"/>
      <c r="D253" s="647">
        <f t="shared" si="70"/>
        <v>0</v>
      </c>
      <c r="E253" s="648"/>
      <c r="F253" s="647">
        <f t="shared" si="71"/>
        <v>0</v>
      </c>
      <c r="G253" s="648"/>
      <c r="H253" s="647">
        <f t="shared" si="72"/>
        <v>0</v>
      </c>
      <c r="I253" s="648"/>
      <c r="J253" s="647">
        <f t="shared" si="73"/>
        <v>0</v>
      </c>
      <c r="K253" s="648"/>
      <c r="L253" s="647">
        <f t="shared" si="74"/>
        <v>0</v>
      </c>
      <c r="M253" s="648"/>
      <c r="P253" s="142" t="s">
        <v>1337</v>
      </c>
      <c r="Q253" s="703">
        <v>0</v>
      </c>
      <c r="R253" s="703">
        <v>0</v>
      </c>
      <c r="S253" s="703">
        <v>0</v>
      </c>
      <c r="T253" s="703">
        <v>0</v>
      </c>
      <c r="U253" s="703">
        <v>0</v>
      </c>
      <c r="V253" s="703">
        <v>0</v>
      </c>
      <c r="W253" s="703">
        <v>0</v>
      </c>
      <c r="X253" s="703">
        <v>0</v>
      </c>
      <c r="Y253" s="703">
        <v>0</v>
      </c>
      <c r="Z253" s="703">
        <v>0</v>
      </c>
      <c r="AA253" s="703">
        <v>0</v>
      </c>
      <c r="AB253" s="703">
        <v>0</v>
      </c>
      <c r="AC253" s="703">
        <v>0</v>
      </c>
      <c r="AD253" s="703">
        <v>0</v>
      </c>
      <c r="AE253" s="703">
        <v>0</v>
      </c>
      <c r="AF253" s="703">
        <v>0</v>
      </c>
      <c r="AG253" s="703">
        <v>0</v>
      </c>
      <c r="AH253" s="703">
        <v>0</v>
      </c>
      <c r="AI253" s="703">
        <v>0</v>
      </c>
      <c r="AJ253" s="703">
        <v>0</v>
      </c>
      <c r="AK253" s="703">
        <v>0</v>
      </c>
      <c r="AL253" s="703">
        <v>0</v>
      </c>
      <c r="AM253" s="703">
        <v>0</v>
      </c>
      <c r="AN253" s="719">
        <v>0</v>
      </c>
      <c r="AO253" s="720"/>
    </row>
    <row r="254" spans="1:41" s="33" customFormat="1" ht="14">
      <c r="A254" s="650" t="s">
        <v>1338</v>
      </c>
      <c r="B254" s="647">
        <f t="shared" si="69"/>
        <v>0</v>
      </c>
      <c r="C254" s="648"/>
      <c r="D254" s="647">
        <f t="shared" si="70"/>
        <v>0</v>
      </c>
      <c r="E254" s="648"/>
      <c r="F254" s="647">
        <f t="shared" si="71"/>
        <v>0</v>
      </c>
      <c r="G254" s="648"/>
      <c r="H254" s="647">
        <f t="shared" si="72"/>
        <v>0</v>
      </c>
      <c r="I254" s="648"/>
      <c r="J254" s="647">
        <f t="shared" si="73"/>
        <v>0</v>
      </c>
      <c r="K254" s="648"/>
      <c r="L254" s="647">
        <f t="shared" si="74"/>
        <v>0</v>
      </c>
      <c r="M254" s="648"/>
      <c r="P254" s="704" t="s">
        <v>1338</v>
      </c>
      <c r="Q254" s="703">
        <v>0</v>
      </c>
      <c r="R254" s="703">
        <v>0</v>
      </c>
      <c r="S254" s="703">
        <v>0</v>
      </c>
      <c r="T254" s="703">
        <v>0</v>
      </c>
      <c r="U254" s="703">
        <v>0</v>
      </c>
      <c r="V254" s="703">
        <v>0</v>
      </c>
      <c r="W254" s="703">
        <v>0</v>
      </c>
      <c r="X254" s="703">
        <v>0</v>
      </c>
      <c r="Y254" s="703">
        <v>0</v>
      </c>
      <c r="Z254" s="703">
        <v>0</v>
      </c>
      <c r="AA254" s="703">
        <v>0</v>
      </c>
      <c r="AB254" s="703">
        <v>0</v>
      </c>
      <c r="AC254" s="703">
        <v>0</v>
      </c>
      <c r="AD254" s="703">
        <v>0</v>
      </c>
      <c r="AE254" s="703">
        <v>0</v>
      </c>
      <c r="AF254" s="703">
        <v>0</v>
      </c>
      <c r="AG254" s="703">
        <v>0</v>
      </c>
      <c r="AH254" s="703">
        <v>0</v>
      </c>
      <c r="AI254" s="703">
        <v>0</v>
      </c>
      <c r="AJ254" s="703">
        <v>0</v>
      </c>
      <c r="AK254" s="703">
        <v>0</v>
      </c>
      <c r="AL254" s="703">
        <v>0</v>
      </c>
      <c r="AM254" s="703">
        <v>0</v>
      </c>
      <c r="AN254" s="719">
        <v>0</v>
      </c>
      <c r="AO254" s="720"/>
    </row>
    <row r="255" spans="1:41" s="33" customFormat="1" ht="14">
      <c r="A255" s="650" t="s">
        <v>1339</v>
      </c>
      <c r="B255" s="647">
        <f t="shared" si="69"/>
        <v>0</v>
      </c>
      <c r="C255" s="648"/>
      <c r="D255" s="647">
        <f t="shared" si="70"/>
        <v>0</v>
      </c>
      <c r="E255" s="648"/>
      <c r="F255" s="647">
        <f t="shared" si="71"/>
        <v>0</v>
      </c>
      <c r="G255" s="648"/>
      <c r="H255" s="647">
        <f t="shared" si="72"/>
        <v>0</v>
      </c>
      <c r="I255" s="648"/>
      <c r="J255" s="647">
        <f t="shared" si="73"/>
        <v>0</v>
      </c>
      <c r="K255" s="648"/>
      <c r="L255" s="647">
        <f t="shared" si="74"/>
        <v>0</v>
      </c>
      <c r="M255" s="648"/>
      <c r="P255" s="704" t="s">
        <v>1339</v>
      </c>
      <c r="Q255" s="703">
        <v>0</v>
      </c>
      <c r="R255" s="703">
        <v>0</v>
      </c>
      <c r="S255" s="703">
        <v>0</v>
      </c>
      <c r="T255" s="703">
        <v>0</v>
      </c>
      <c r="U255" s="703">
        <v>0</v>
      </c>
      <c r="V255" s="703">
        <v>0</v>
      </c>
      <c r="W255" s="703">
        <v>0</v>
      </c>
      <c r="X255" s="703">
        <v>0</v>
      </c>
      <c r="Y255" s="703">
        <v>0</v>
      </c>
      <c r="Z255" s="703">
        <v>0</v>
      </c>
      <c r="AA255" s="703">
        <v>0</v>
      </c>
      <c r="AB255" s="703">
        <v>0</v>
      </c>
      <c r="AC255" s="703">
        <v>0</v>
      </c>
      <c r="AD255" s="703">
        <v>0</v>
      </c>
      <c r="AE255" s="703">
        <v>0</v>
      </c>
      <c r="AF255" s="703">
        <v>0</v>
      </c>
      <c r="AG255" s="703">
        <v>0</v>
      </c>
      <c r="AH255" s="703">
        <v>0</v>
      </c>
      <c r="AI255" s="703">
        <v>0</v>
      </c>
      <c r="AJ255" s="703">
        <v>0</v>
      </c>
      <c r="AK255" s="703">
        <v>0</v>
      </c>
      <c r="AL255" s="703">
        <v>0</v>
      </c>
      <c r="AM255" s="703">
        <v>0</v>
      </c>
      <c r="AN255" s="719">
        <v>0</v>
      </c>
      <c r="AO255" s="720"/>
    </row>
    <row r="256" spans="1:41" s="33" customFormat="1" ht="14">
      <c r="A256" s="650" t="s">
        <v>1340</v>
      </c>
      <c r="B256" s="647">
        <f t="shared" si="69"/>
        <v>0</v>
      </c>
      <c r="C256" s="648"/>
      <c r="D256" s="647">
        <f t="shared" si="70"/>
        <v>0</v>
      </c>
      <c r="E256" s="648"/>
      <c r="F256" s="647">
        <f t="shared" si="71"/>
        <v>0</v>
      </c>
      <c r="G256" s="648"/>
      <c r="H256" s="647">
        <f t="shared" si="72"/>
        <v>0</v>
      </c>
      <c r="I256" s="648"/>
      <c r="J256" s="647">
        <f t="shared" si="73"/>
        <v>0</v>
      </c>
      <c r="K256" s="648"/>
      <c r="L256" s="647">
        <f t="shared" si="74"/>
        <v>0</v>
      </c>
      <c r="M256" s="648"/>
      <c r="P256" s="704" t="s">
        <v>1340</v>
      </c>
      <c r="Q256" s="703">
        <v>0</v>
      </c>
      <c r="R256" s="703">
        <v>0</v>
      </c>
      <c r="S256" s="703">
        <v>0</v>
      </c>
      <c r="T256" s="703">
        <v>0</v>
      </c>
      <c r="U256" s="703">
        <v>0</v>
      </c>
      <c r="V256" s="703">
        <v>0</v>
      </c>
      <c r="W256" s="703">
        <v>0</v>
      </c>
      <c r="X256" s="703">
        <v>0</v>
      </c>
      <c r="Y256" s="703">
        <v>0</v>
      </c>
      <c r="Z256" s="703">
        <v>0</v>
      </c>
      <c r="AA256" s="703">
        <v>0</v>
      </c>
      <c r="AB256" s="703">
        <v>0</v>
      </c>
      <c r="AC256" s="703">
        <v>0</v>
      </c>
      <c r="AD256" s="703">
        <v>0</v>
      </c>
      <c r="AE256" s="703">
        <v>0</v>
      </c>
      <c r="AF256" s="703">
        <v>0</v>
      </c>
      <c r="AG256" s="703">
        <v>0</v>
      </c>
      <c r="AH256" s="703">
        <v>0</v>
      </c>
      <c r="AI256" s="703">
        <v>0</v>
      </c>
      <c r="AJ256" s="703">
        <v>0</v>
      </c>
      <c r="AK256" s="703">
        <v>0</v>
      </c>
      <c r="AL256" s="703">
        <v>0</v>
      </c>
      <c r="AM256" s="703">
        <v>0</v>
      </c>
      <c r="AN256" s="719">
        <v>0</v>
      </c>
      <c r="AO256" s="720"/>
    </row>
    <row r="257" spans="1:41" s="33" customFormat="1" ht="14">
      <c r="A257" s="650" t="s">
        <v>1341</v>
      </c>
      <c r="B257" s="647">
        <f t="shared" si="69"/>
        <v>0</v>
      </c>
      <c r="C257" s="648"/>
      <c r="D257" s="647">
        <f t="shared" si="70"/>
        <v>0</v>
      </c>
      <c r="E257" s="648"/>
      <c r="F257" s="647">
        <f t="shared" si="71"/>
        <v>0</v>
      </c>
      <c r="G257" s="648"/>
      <c r="H257" s="647">
        <f t="shared" si="72"/>
        <v>0</v>
      </c>
      <c r="I257" s="648"/>
      <c r="J257" s="647">
        <f t="shared" si="73"/>
        <v>0</v>
      </c>
      <c r="K257" s="648"/>
      <c r="L257" s="647">
        <f t="shared" si="74"/>
        <v>0</v>
      </c>
      <c r="M257" s="648"/>
      <c r="P257" s="704" t="s">
        <v>1341</v>
      </c>
      <c r="Q257" s="703">
        <v>0</v>
      </c>
      <c r="R257" s="703">
        <v>0</v>
      </c>
      <c r="S257" s="703">
        <v>0</v>
      </c>
      <c r="T257" s="703">
        <v>0</v>
      </c>
      <c r="U257" s="703">
        <v>0</v>
      </c>
      <c r="V257" s="703">
        <v>0</v>
      </c>
      <c r="W257" s="703">
        <v>0</v>
      </c>
      <c r="X257" s="703">
        <v>0</v>
      </c>
      <c r="Y257" s="703">
        <v>0</v>
      </c>
      <c r="Z257" s="703">
        <v>0</v>
      </c>
      <c r="AA257" s="703">
        <v>0</v>
      </c>
      <c r="AB257" s="703">
        <v>0</v>
      </c>
      <c r="AC257" s="703">
        <v>0</v>
      </c>
      <c r="AD257" s="703">
        <v>0</v>
      </c>
      <c r="AE257" s="703">
        <v>0</v>
      </c>
      <c r="AF257" s="703">
        <v>0</v>
      </c>
      <c r="AG257" s="703">
        <v>0</v>
      </c>
      <c r="AH257" s="703">
        <v>0</v>
      </c>
      <c r="AI257" s="703">
        <v>0</v>
      </c>
      <c r="AJ257" s="703">
        <v>0</v>
      </c>
      <c r="AK257" s="703">
        <v>0</v>
      </c>
      <c r="AL257" s="703">
        <v>0</v>
      </c>
      <c r="AM257" s="703">
        <v>0</v>
      </c>
      <c r="AN257" s="719">
        <v>0</v>
      </c>
      <c r="AO257" s="720"/>
    </row>
    <row r="258" spans="1:41" s="33" customFormat="1" ht="14">
      <c r="A258" s="650" t="s">
        <v>1342</v>
      </c>
      <c r="B258" s="647">
        <f t="shared" si="69"/>
        <v>0</v>
      </c>
      <c r="C258" s="648"/>
      <c r="D258" s="647">
        <f t="shared" si="70"/>
        <v>0</v>
      </c>
      <c r="E258" s="648"/>
      <c r="F258" s="647">
        <f t="shared" si="71"/>
        <v>0</v>
      </c>
      <c r="G258" s="648"/>
      <c r="H258" s="647">
        <f t="shared" si="72"/>
        <v>0</v>
      </c>
      <c r="I258" s="648"/>
      <c r="J258" s="647">
        <f t="shared" si="73"/>
        <v>0</v>
      </c>
      <c r="K258" s="648"/>
      <c r="L258" s="647">
        <f t="shared" si="74"/>
        <v>0</v>
      </c>
      <c r="M258" s="648"/>
      <c r="P258" s="704" t="s">
        <v>1342</v>
      </c>
      <c r="Q258" s="703">
        <v>0</v>
      </c>
      <c r="R258" s="703">
        <v>0</v>
      </c>
      <c r="S258" s="703">
        <v>0</v>
      </c>
      <c r="T258" s="703">
        <v>0</v>
      </c>
      <c r="U258" s="703">
        <v>0</v>
      </c>
      <c r="V258" s="703">
        <v>0</v>
      </c>
      <c r="W258" s="703">
        <v>0</v>
      </c>
      <c r="X258" s="703">
        <v>0</v>
      </c>
      <c r="Y258" s="703">
        <v>0</v>
      </c>
      <c r="Z258" s="703">
        <v>0</v>
      </c>
      <c r="AA258" s="703">
        <v>0</v>
      </c>
      <c r="AB258" s="703">
        <v>0</v>
      </c>
      <c r="AC258" s="703">
        <v>0</v>
      </c>
      <c r="AD258" s="703">
        <v>0</v>
      </c>
      <c r="AE258" s="703">
        <v>0</v>
      </c>
      <c r="AF258" s="703">
        <v>0</v>
      </c>
      <c r="AG258" s="703">
        <v>0</v>
      </c>
      <c r="AH258" s="703">
        <v>0</v>
      </c>
      <c r="AI258" s="703">
        <v>0</v>
      </c>
      <c r="AJ258" s="703">
        <v>0</v>
      </c>
      <c r="AK258" s="703">
        <v>0</v>
      </c>
      <c r="AL258" s="703">
        <v>0</v>
      </c>
      <c r="AM258" s="703">
        <v>0</v>
      </c>
      <c r="AN258" s="719">
        <v>0</v>
      </c>
      <c r="AO258" s="720"/>
    </row>
    <row r="259" spans="1:41" s="33" customFormat="1" ht="14">
      <c r="A259" s="650" t="s">
        <v>1343</v>
      </c>
      <c r="B259" s="647">
        <f t="shared" si="69"/>
        <v>0</v>
      </c>
      <c r="C259" s="648"/>
      <c r="D259" s="647">
        <f t="shared" si="70"/>
        <v>0</v>
      </c>
      <c r="E259" s="648"/>
      <c r="F259" s="647">
        <f t="shared" si="71"/>
        <v>0</v>
      </c>
      <c r="G259" s="648"/>
      <c r="H259" s="647">
        <f t="shared" si="72"/>
        <v>0</v>
      </c>
      <c r="I259" s="648"/>
      <c r="J259" s="647">
        <f t="shared" si="73"/>
        <v>0</v>
      </c>
      <c r="K259" s="648"/>
      <c r="L259" s="647">
        <f t="shared" si="74"/>
        <v>0</v>
      </c>
      <c r="M259" s="648"/>
      <c r="P259" s="704" t="s">
        <v>1343</v>
      </c>
      <c r="Q259" s="703">
        <v>0</v>
      </c>
      <c r="R259" s="703">
        <v>0</v>
      </c>
      <c r="S259" s="703">
        <v>0</v>
      </c>
      <c r="T259" s="703">
        <v>0</v>
      </c>
      <c r="U259" s="703">
        <v>0</v>
      </c>
      <c r="V259" s="703">
        <v>0</v>
      </c>
      <c r="W259" s="703">
        <v>0</v>
      </c>
      <c r="X259" s="703">
        <v>0</v>
      </c>
      <c r="Y259" s="703">
        <v>0</v>
      </c>
      <c r="Z259" s="703">
        <v>0</v>
      </c>
      <c r="AA259" s="703">
        <v>0</v>
      </c>
      <c r="AB259" s="703">
        <v>0</v>
      </c>
      <c r="AC259" s="703">
        <v>0</v>
      </c>
      <c r="AD259" s="703">
        <v>0</v>
      </c>
      <c r="AE259" s="703">
        <v>0</v>
      </c>
      <c r="AF259" s="703">
        <v>0</v>
      </c>
      <c r="AG259" s="703">
        <v>0</v>
      </c>
      <c r="AH259" s="703">
        <v>0</v>
      </c>
      <c r="AI259" s="703">
        <v>0</v>
      </c>
      <c r="AJ259" s="703">
        <v>0</v>
      </c>
      <c r="AK259" s="703">
        <v>0</v>
      </c>
      <c r="AL259" s="703">
        <v>0</v>
      </c>
      <c r="AM259" s="703">
        <v>0</v>
      </c>
      <c r="AN259" s="719">
        <v>0</v>
      </c>
      <c r="AO259" s="720"/>
    </row>
    <row r="260" spans="1:41" s="33" customFormat="1" ht="14">
      <c r="A260" s="188" t="s">
        <v>1344</v>
      </c>
      <c r="B260" s="647">
        <f t="shared" si="69"/>
        <v>0</v>
      </c>
      <c r="C260" s="648"/>
      <c r="D260" s="647">
        <f t="shared" si="70"/>
        <v>0</v>
      </c>
      <c r="E260" s="648"/>
      <c r="F260" s="647">
        <f t="shared" si="71"/>
        <v>0</v>
      </c>
      <c r="G260" s="648"/>
      <c r="H260" s="647">
        <f t="shared" si="72"/>
        <v>0</v>
      </c>
      <c r="I260" s="648"/>
      <c r="J260" s="647">
        <f t="shared" si="73"/>
        <v>0</v>
      </c>
      <c r="K260" s="648"/>
      <c r="L260" s="647">
        <f t="shared" si="74"/>
        <v>0</v>
      </c>
      <c r="M260" s="648"/>
      <c r="P260" s="188" t="s">
        <v>1344</v>
      </c>
      <c r="Q260" s="703">
        <v>0</v>
      </c>
      <c r="R260" s="703">
        <v>0</v>
      </c>
      <c r="S260" s="703">
        <v>0</v>
      </c>
      <c r="T260" s="703">
        <v>0</v>
      </c>
      <c r="U260" s="703">
        <v>0</v>
      </c>
      <c r="V260" s="703">
        <v>0</v>
      </c>
      <c r="W260" s="703">
        <v>0</v>
      </c>
      <c r="X260" s="703">
        <v>0</v>
      </c>
      <c r="Y260" s="703">
        <v>0</v>
      </c>
      <c r="Z260" s="703">
        <v>0</v>
      </c>
      <c r="AA260" s="703">
        <v>0</v>
      </c>
      <c r="AB260" s="703">
        <v>0</v>
      </c>
      <c r="AC260" s="703">
        <v>0</v>
      </c>
      <c r="AD260" s="703">
        <v>0</v>
      </c>
      <c r="AE260" s="703">
        <v>0</v>
      </c>
      <c r="AF260" s="703">
        <v>0</v>
      </c>
      <c r="AG260" s="703">
        <v>0</v>
      </c>
      <c r="AH260" s="703">
        <v>0</v>
      </c>
      <c r="AI260" s="703">
        <v>0</v>
      </c>
      <c r="AJ260" s="703">
        <v>0</v>
      </c>
      <c r="AK260" s="703">
        <v>0</v>
      </c>
      <c r="AL260" s="703">
        <v>0</v>
      </c>
      <c r="AM260" s="703">
        <v>0</v>
      </c>
      <c r="AN260" s="719">
        <v>0</v>
      </c>
      <c r="AO260" s="720"/>
    </row>
    <row r="261" spans="1:41" s="33" customFormat="1" ht="14">
      <c r="A261" s="650" t="s">
        <v>1345</v>
      </c>
      <c r="B261" s="647">
        <f t="shared" si="69"/>
        <v>0</v>
      </c>
      <c r="C261" s="648"/>
      <c r="D261" s="647">
        <f t="shared" si="70"/>
        <v>0</v>
      </c>
      <c r="E261" s="648"/>
      <c r="F261" s="647">
        <f t="shared" si="71"/>
        <v>0</v>
      </c>
      <c r="G261" s="648"/>
      <c r="H261" s="647">
        <f t="shared" si="72"/>
        <v>0</v>
      </c>
      <c r="I261" s="648"/>
      <c r="J261" s="647">
        <f t="shared" si="73"/>
        <v>0</v>
      </c>
      <c r="K261" s="648"/>
      <c r="L261" s="647">
        <f t="shared" si="74"/>
        <v>0</v>
      </c>
      <c r="M261" s="648"/>
      <c r="P261" s="704" t="s">
        <v>1345</v>
      </c>
      <c r="Q261" s="703">
        <v>0</v>
      </c>
      <c r="R261" s="703">
        <v>0</v>
      </c>
      <c r="S261" s="703">
        <v>0</v>
      </c>
      <c r="T261" s="703">
        <v>0</v>
      </c>
      <c r="U261" s="703">
        <v>0</v>
      </c>
      <c r="V261" s="703">
        <v>0</v>
      </c>
      <c r="W261" s="703">
        <v>0</v>
      </c>
      <c r="X261" s="703">
        <v>0</v>
      </c>
      <c r="Y261" s="703">
        <v>0</v>
      </c>
      <c r="Z261" s="703">
        <v>0</v>
      </c>
      <c r="AA261" s="703">
        <v>0</v>
      </c>
      <c r="AB261" s="703">
        <v>0</v>
      </c>
      <c r="AC261" s="703">
        <v>0</v>
      </c>
      <c r="AD261" s="703">
        <v>0</v>
      </c>
      <c r="AE261" s="703">
        <v>0</v>
      </c>
      <c r="AF261" s="703">
        <v>0</v>
      </c>
      <c r="AG261" s="703">
        <v>0</v>
      </c>
      <c r="AH261" s="703">
        <v>0</v>
      </c>
      <c r="AI261" s="703">
        <v>0</v>
      </c>
      <c r="AJ261" s="703">
        <v>0</v>
      </c>
      <c r="AK261" s="703">
        <v>0</v>
      </c>
      <c r="AL261" s="703">
        <v>0</v>
      </c>
      <c r="AM261" s="703">
        <v>0</v>
      </c>
      <c r="AN261" s="719">
        <v>0</v>
      </c>
      <c r="AO261" s="720"/>
    </row>
    <row r="262" spans="1:41" s="33" customFormat="1" ht="14">
      <c r="A262" s="650" t="s">
        <v>1346</v>
      </c>
      <c r="B262" s="647">
        <f t="shared" si="69"/>
        <v>0</v>
      </c>
      <c r="C262" s="648"/>
      <c r="D262" s="647">
        <f t="shared" si="70"/>
        <v>0</v>
      </c>
      <c r="E262" s="648"/>
      <c r="F262" s="647">
        <f t="shared" si="71"/>
        <v>0</v>
      </c>
      <c r="G262" s="648"/>
      <c r="H262" s="647">
        <f t="shared" si="72"/>
        <v>0</v>
      </c>
      <c r="I262" s="648"/>
      <c r="J262" s="647">
        <f t="shared" si="73"/>
        <v>0</v>
      </c>
      <c r="K262" s="648"/>
      <c r="L262" s="647">
        <f t="shared" si="74"/>
        <v>0</v>
      </c>
      <c r="M262" s="648"/>
      <c r="P262" s="704" t="s">
        <v>1346</v>
      </c>
      <c r="Q262" s="703">
        <v>18729</v>
      </c>
      <c r="R262" s="703">
        <v>0</v>
      </c>
      <c r="S262" s="703">
        <v>0</v>
      </c>
      <c r="T262" s="703">
        <v>18729</v>
      </c>
      <c r="U262" s="703">
        <v>0</v>
      </c>
      <c r="V262" s="703">
        <v>19500</v>
      </c>
      <c r="W262" s="703">
        <v>239418</v>
      </c>
      <c r="X262" s="703">
        <v>258918</v>
      </c>
      <c r="Y262" s="703">
        <v>0</v>
      </c>
      <c r="Z262" s="703">
        <v>0</v>
      </c>
      <c r="AA262" s="703">
        <v>0</v>
      </c>
      <c r="AB262" s="703">
        <v>0</v>
      </c>
      <c r="AC262" s="703">
        <v>0</v>
      </c>
      <c r="AD262" s="703">
        <v>0</v>
      </c>
      <c r="AE262" s="703">
        <v>0</v>
      </c>
      <c r="AF262" s="703">
        <v>0</v>
      </c>
      <c r="AG262" s="703">
        <v>0</v>
      </c>
      <c r="AH262" s="703">
        <v>0</v>
      </c>
      <c r="AI262" s="703">
        <v>0</v>
      </c>
      <c r="AJ262" s="703">
        <v>0</v>
      </c>
      <c r="AK262" s="703">
        <v>0</v>
      </c>
      <c r="AL262" s="703">
        <v>0</v>
      </c>
      <c r="AM262" s="703">
        <v>0</v>
      </c>
      <c r="AN262" s="719">
        <v>0</v>
      </c>
      <c r="AO262" s="720"/>
    </row>
    <row r="263" spans="1:41" s="33" customFormat="1" ht="14.5" thickBot="1">
      <c r="A263" s="662" t="s">
        <v>1347</v>
      </c>
      <c r="B263" s="647">
        <f t="shared" si="69"/>
        <v>0</v>
      </c>
      <c r="C263" s="648"/>
      <c r="D263" s="647">
        <f t="shared" si="70"/>
        <v>0</v>
      </c>
      <c r="E263" s="648"/>
      <c r="F263" s="647">
        <f t="shared" si="71"/>
        <v>0</v>
      </c>
      <c r="G263" s="648"/>
      <c r="H263" s="647">
        <f t="shared" si="72"/>
        <v>0</v>
      </c>
      <c r="I263" s="648"/>
      <c r="J263" s="647">
        <f t="shared" si="73"/>
        <v>0</v>
      </c>
      <c r="K263" s="648"/>
      <c r="L263" s="647">
        <f t="shared" si="74"/>
        <v>0</v>
      </c>
      <c r="M263" s="648"/>
      <c r="P263" s="704" t="s">
        <v>1347</v>
      </c>
      <c r="Q263" s="703">
        <v>0</v>
      </c>
      <c r="R263" s="721">
        <v>0</v>
      </c>
      <c r="S263" s="721">
        <v>0</v>
      </c>
      <c r="T263" s="721">
        <v>0</v>
      </c>
      <c r="U263" s="721">
        <v>0</v>
      </c>
      <c r="V263" s="721">
        <v>0</v>
      </c>
      <c r="W263" s="721">
        <v>0</v>
      </c>
      <c r="X263" s="721">
        <v>0</v>
      </c>
      <c r="Y263" s="721">
        <v>0</v>
      </c>
      <c r="Z263" s="721">
        <v>0</v>
      </c>
      <c r="AA263" s="721">
        <v>0</v>
      </c>
      <c r="AB263" s="721">
        <v>0</v>
      </c>
      <c r="AC263" s="721">
        <v>0</v>
      </c>
      <c r="AD263" s="721">
        <v>0</v>
      </c>
      <c r="AE263" s="721">
        <v>0</v>
      </c>
      <c r="AF263" s="721">
        <v>0</v>
      </c>
      <c r="AG263" s="721">
        <v>0</v>
      </c>
      <c r="AH263" s="721">
        <v>0</v>
      </c>
      <c r="AI263" s="721">
        <v>0</v>
      </c>
      <c r="AJ263" s="721">
        <v>0</v>
      </c>
      <c r="AK263" s="721">
        <v>0</v>
      </c>
      <c r="AL263" s="721">
        <v>0</v>
      </c>
      <c r="AM263" s="721">
        <v>0</v>
      </c>
      <c r="AN263" s="722">
        <v>0</v>
      </c>
      <c r="AO263" s="720"/>
    </row>
    <row r="264" spans="1:41" s="33" customFormat="1" ht="14.5" thickBot="1">
      <c r="A264" s="662" t="s">
        <v>2442</v>
      </c>
      <c r="B264" s="647"/>
      <c r="C264" s="648"/>
      <c r="D264" s="647"/>
      <c r="E264" s="648"/>
      <c r="F264" s="647"/>
      <c r="G264" s="648"/>
      <c r="H264" s="647"/>
      <c r="I264" s="648"/>
      <c r="J264" s="647"/>
      <c r="K264" s="648"/>
      <c r="L264" s="647"/>
      <c r="M264" s="648"/>
      <c r="P264" s="715" t="s">
        <v>2697</v>
      </c>
      <c r="Q264" s="703">
        <v>0</v>
      </c>
      <c r="R264" s="721">
        <v>0</v>
      </c>
      <c r="S264" s="721">
        <v>0</v>
      </c>
      <c r="T264" s="721">
        <v>0</v>
      </c>
      <c r="U264" s="721">
        <v>0</v>
      </c>
      <c r="V264" s="721">
        <v>0</v>
      </c>
      <c r="W264" s="721">
        <v>0</v>
      </c>
      <c r="X264" s="721">
        <v>0</v>
      </c>
      <c r="Y264" s="721">
        <v>0</v>
      </c>
      <c r="Z264" s="721">
        <v>0</v>
      </c>
      <c r="AA264" s="721">
        <v>0</v>
      </c>
      <c r="AB264" s="721">
        <v>0</v>
      </c>
      <c r="AC264" s="721">
        <v>0</v>
      </c>
      <c r="AD264" s="721">
        <v>0</v>
      </c>
      <c r="AE264" s="721">
        <v>0</v>
      </c>
      <c r="AF264" s="721">
        <v>0</v>
      </c>
      <c r="AG264" s="721">
        <v>0</v>
      </c>
      <c r="AH264" s="721">
        <v>0</v>
      </c>
      <c r="AI264" s="721">
        <v>0</v>
      </c>
      <c r="AJ264" s="721">
        <v>0</v>
      </c>
      <c r="AK264" s="721">
        <v>0</v>
      </c>
      <c r="AL264" s="721">
        <v>0</v>
      </c>
      <c r="AM264" s="723">
        <v>0</v>
      </c>
      <c r="AN264" s="724">
        <v>0</v>
      </c>
      <c r="AO264" s="676">
        <f>T264+X264+AB264+AF264+AJ264+AN264</f>
        <v>0</v>
      </c>
    </row>
    <row r="265" spans="1:41" s="33" customFormat="1" ht="14.5" thickBot="1">
      <c r="A265" s="655"/>
      <c r="B265" s="663"/>
      <c r="C265" s="663"/>
      <c r="D265" s="663"/>
      <c r="E265" s="663"/>
      <c r="F265" s="663"/>
      <c r="G265" s="663"/>
      <c r="H265" s="663"/>
      <c r="I265" s="663"/>
      <c r="J265" s="663"/>
      <c r="K265" s="663"/>
      <c r="L265" s="663"/>
      <c r="M265" s="663"/>
      <c r="P265" s="705" t="s">
        <v>196</v>
      </c>
      <c r="Q265" s="725"/>
      <c r="R265" s="726"/>
      <c r="S265" s="727"/>
      <c r="T265" s="728">
        <v>18729</v>
      </c>
      <c r="U265" s="726"/>
      <c r="V265" s="726"/>
      <c r="W265" s="727"/>
      <c r="X265" s="728">
        <v>258918</v>
      </c>
      <c r="Y265" s="726"/>
      <c r="Z265" s="726"/>
      <c r="AA265" s="727"/>
      <c r="AB265" s="728">
        <v>0</v>
      </c>
      <c r="AC265" s="726"/>
      <c r="AD265" s="726"/>
      <c r="AE265" s="727"/>
      <c r="AF265" s="728">
        <v>0</v>
      </c>
      <c r="AG265" s="726"/>
      <c r="AH265" s="726"/>
      <c r="AI265" s="727"/>
      <c r="AJ265" s="728">
        <v>0</v>
      </c>
      <c r="AK265" s="726"/>
      <c r="AL265" s="726"/>
      <c r="AM265" s="727"/>
      <c r="AN265" s="729">
        <v>0</v>
      </c>
      <c r="AO265" s="140">
        <f>T265+X265+AB265+AF265+AJ265+AN265</f>
        <v>277647</v>
      </c>
    </row>
    <row r="266" spans="1:41" s="33" customFormat="1" ht="14">
      <c r="A266" s="665"/>
      <c r="B266" s="666"/>
      <c r="C266" s="666"/>
      <c r="D266" s="666"/>
      <c r="E266" s="666"/>
      <c r="F266" s="28"/>
      <c r="G266" s="28"/>
      <c r="H266" s="28"/>
      <c r="I266" s="666"/>
      <c r="J266" s="666"/>
      <c r="K266" s="666"/>
      <c r="L266" s="666"/>
      <c r="M266" s="666"/>
      <c r="N266" s="666"/>
      <c r="P266" s="28"/>
      <c r="Q266" s="145"/>
      <c r="R266" s="145"/>
      <c r="S266" s="717"/>
      <c r="T266" s="145"/>
      <c r="U266" s="145"/>
      <c r="V266" s="717"/>
      <c r="W266" s="145"/>
      <c r="X266" s="145"/>
      <c r="Y266" s="717"/>
      <c r="Z266" s="145"/>
      <c r="AA266" s="145"/>
      <c r="AB266" s="717"/>
      <c r="AC266" s="145"/>
      <c r="AD266" s="145"/>
      <c r="AE266" s="717"/>
      <c r="AF266" s="145"/>
      <c r="AG266" s="145"/>
      <c r="AH266" s="717"/>
    </row>
    <row r="267" spans="1:41" s="33" customFormat="1" ht="13.5" thickBot="1">
      <c r="C267" s="51"/>
      <c r="E267" s="536"/>
      <c r="H267" s="40"/>
      <c r="I267" s="40"/>
      <c r="J267" s="40"/>
      <c r="M267" s="671"/>
      <c r="N267" s="640"/>
    </row>
    <row r="268" spans="1:41" s="33" customFormat="1" ht="13" thickBot="1">
      <c r="A268" s="883" t="s">
        <v>1455</v>
      </c>
      <c r="B268" s="884"/>
      <c r="C268" s="884"/>
      <c r="D268" s="884"/>
      <c r="E268" s="884"/>
      <c r="F268" s="884"/>
      <c r="G268" s="884"/>
      <c r="H268" s="884"/>
      <c r="I268" s="884"/>
      <c r="J268" s="884"/>
      <c r="K268" s="884"/>
      <c r="L268" s="884"/>
      <c r="M268" s="885"/>
      <c r="N268" s="139"/>
      <c r="P268" s="872" t="s">
        <v>1462</v>
      </c>
      <c r="Q268" s="878" t="s">
        <v>1455</v>
      </c>
      <c r="R268" s="879"/>
      <c r="S268" s="879"/>
      <c r="T268" s="879"/>
      <c r="U268" s="879"/>
      <c r="V268" s="879"/>
      <c r="W268" s="879"/>
      <c r="X268" s="879"/>
      <c r="Y268" s="879"/>
      <c r="Z268" s="879"/>
      <c r="AA268" s="879"/>
      <c r="AB268" s="879"/>
      <c r="AC268" s="879"/>
      <c r="AD268" s="879"/>
      <c r="AE268" s="880"/>
      <c r="AF268" s="880"/>
      <c r="AG268" s="880"/>
      <c r="AH268" s="881"/>
    </row>
    <row r="269" spans="1:41" s="33" customFormat="1" ht="30" customHeight="1" thickBot="1">
      <c r="A269" s="906" t="s">
        <v>1361</v>
      </c>
      <c r="B269" s="876" t="s">
        <v>1456</v>
      </c>
      <c r="C269" s="874"/>
      <c r="D269" s="876" t="s">
        <v>1457</v>
      </c>
      <c r="E269" s="874"/>
      <c r="F269" s="876" t="s">
        <v>1458</v>
      </c>
      <c r="G269" s="874"/>
      <c r="H269" s="876" t="s">
        <v>1459</v>
      </c>
      <c r="I269" s="874"/>
      <c r="J269" s="876" t="s">
        <v>1460</v>
      </c>
      <c r="K269" s="874"/>
      <c r="L269" s="876" t="s">
        <v>1461</v>
      </c>
      <c r="M269" s="874"/>
      <c r="P269" s="905" t="s">
        <v>1365</v>
      </c>
      <c r="Q269" s="878" t="s">
        <v>232</v>
      </c>
      <c r="R269" s="879"/>
      <c r="S269" s="882"/>
      <c r="T269" s="878" t="s">
        <v>212</v>
      </c>
      <c r="U269" s="879"/>
      <c r="V269" s="882"/>
      <c r="W269" s="878" t="s">
        <v>228</v>
      </c>
      <c r="X269" s="879"/>
      <c r="Y269" s="882"/>
      <c r="Z269" s="878" t="s">
        <v>229</v>
      </c>
      <c r="AA269" s="879"/>
      <c r="AB269" s="882"/>
      <c r="AC269" s="878" t="s">
        <v>231</v>
      </c>
      <c r="AD269" s="879"/>
      <c r="AE269" s="882"/>
      <c r="AF269" s="878" t="s">
        <v>230</v>
      </c>
      <c r="AG269" s="879"/>
      <c r="AH269" s="882"/>
    </row>
    <row r="270" spans="1:41" s="33" customFormat="1" ht="13.5" customHeight="1" thickBot="1">
      <c r="A270" s="907"/>
      <c r="B270" s="877"/>
      <c r="C270" s="875"/>
      <c r="D270" s="877"/>
      <c r="E270" s="875"/>
      <c r="F270" s="877"/>
      <c r="G270" s="875"/>
      <c r="H270" s="877"/>
      <c r="I270" s="875"/>
      <c r="J270" s="877"/>
      <c r="K270" s="875"/>
      <c r="L270" s="877"/>
      <c r="M270" s="875"/>
      <c r="P270" s="873">
        <v>0</v>
      </c>
      <c r="Q270" s="217" t="s">
        <v>1362</v>
      </c>
      <c r="R270" s="64" t="s">
        <v>1363</v>
      </c>
      <c r="S270" s="218" t="s">
        <v>1387</v>
      </c>
      <c r="T270" s="217" t="s">
        <v>1362</v>
      </c>
      <c r="U270" s="64" t="s">
        <v>1363</v>
      </c>
      <c r="V270" s="218" t="s">
        <v>1387</v>
      </c>
      <c r="W270" s="217" t="s">
        <v>1362</v>
      </c>
      <c r="X270" s="64" t="s">
        <v>1363</v>
      </c>
      <c r="Y270" s="218" t="s">
        <v>1387</v>
      </c>
      <c r="Z270" s="217" t="s">
        <v>1362</v>
      </c>
      <c r="AA270" s="64" t="s">
        <v>1363</v>
      </c>
      <c r="AB270" s="218" t="s">
        <v>1387</v>
      </c>
      <c r="AC270" s="217" t="s">
        <v>1362</v>
      </c>
      <c r="AD270" s="64" t="s">
        <v>1363</v>
      </c>
      <c r="AE270" s="218" t="s">
        <v>1387</v>
      </c>
      <c r="AF270" s="217" t="s">
        <v>1362</v>
      </c>
      <c r="AG270" s="64" t="s">
        <v>1363</v>
      </c>
      <c r="AH270" s="218" t="s">
        <v>1387</v>
      </c>
    </row>
    <row r="271" spans="1:41" s="33" customFormat="1" ht="14">
      <c r="A271" s="187" t="s">
        <v>2423</v>
      </c>
      <c r="B271" s="647">
        <f t="shared" ref="B271:B289" si="75">$S271*$J36</f>
        <v>0</v>
      </c>
      <c r="C271" s="648"/>
      <c r="D271" s="647">
        <f t="shared" ref="D271:D289" si="76">$V271*$J36</f>
        <v>0</v>
      </c>
      <c r="E271" s="648"/>
      <c r="F271" s="647">
        <f t="shared" ref="F271:F289" si="77">Y271*$J36</f>
        <v>0</v>
      </c>
      <c r="G271" s="648"/>
      <c r="H271" s="647">
        <f t="shared" ref="H271:H289" si="78">AB271*$J36</f>
        <v>0</v>
      </c>
      <c r="I271" s="648"/>
      <c r="J271" s="647">
        <f t="shared" ref="J271:J289" si="79">AE271*$J36</f>
        <v>0</v>
      </c>
      <c r="K271" s="648"/>
      <c r="L271" s="647">
        <f t="shared" ref="L271:L289" si="80">AH271*$J36</f>
        <v>0</v>
      </c>
      <c r="M271" s="648"/>
      <c r="P271" s="188" t="s">
        <v>2423</v>
      </c>
      <c r="Q271" s="714"/>
      <c r="R271" s="714"/>
      <c r="S271" s="719">
        <v>0</v>
      </c>
      <c r="T271" s="714"/>
      <c r="U271" s="714"/>
      <c r="V271" s="719">
        <v>0</v>
      </c>
      <c r="W271" s="714"/>
      <c r="X271" s="714"/>
      <c r="Y271" s="719">
        <v>0</v>
      </c>
      <c r="Z271" s="714"/>
      <c r="AA271" s="714"/>
      <c r="AB271" s="719">
        <v>0</v>
      </c>
      <c r="AC271" s="714"/>
      <c r="AD271" s="714"/>
      <c r="AE271" s="719">
        <v>0</v>
      </c>
      <c r="AF271" s="714"/>
      <c r="AG271" s="714"/>
      <c r="AH271" s="719">
        <v>0</v>
      </c>
    </row>
    <row r="272" spans="1:41" s="33" customFormat="1" ht="14">
      <c r="A272" s="650" t="s">
        <v>1330</v>
      </c>
      <c r="B272" s="647">
        <f t="shared" si="75"/>
        <v>0</v>
      </c>
      <c r="C272" s="648"/>
      <c r="D272" s="647">
        <f t="shared" si="76"/>
        <v>0</v>
      </c>
      <c r="E272" s="648"/>
      <c r="F272" s="647">
        <f t="shared" si="77"/>
        <v>1192540.9542031346</v>
      </c>
      <c r="G272" s="648"/>
      <c r="H272" s="647">
        <f t="shared" si="78"/>
        <v>0</v>
      </c>
      <c r="I272" s="648"/>
      <c r="J272" s="647">
        <f t="shared" si="79"/>
        <v>0</v>
      </c>
      <c r="K272" s="648"/>
      <c r="L272" s="647">
        <f t="shared" si="80"/>
        <v>0</v>
      </c>
      <c r="M272" s="648"/>
      <c r="P272" s="704" t="s">
        <v>1330</v>
      </c>
      <c r="Q272" s="714"/>
      <c r="R272" s="714"/>
      <c r="S272" s="719">
        <v>0</v>
      </c>
      <c r="T272" s="714"/>
      <c r="U272" s="714"/>
      <c r="V272" s="719">
        <v>0</v>
      </c>
      <c r="W272" s="714"/>
      <c r="X272" s="714"/>
      <c r="Y272" s="719">
        <v>79327</v>
      </c>
      <c r="Z272" s="714"/>
      <c r="AA272" s="714"/>
      <c r="AB272" s="719">
        <v>0</v>
      </c>
      <c r="AC272" s="714"/>
      <c r="AD272" s="714"/>
      <c r="AE272" s="719">
        <v>0</v>
      </c>
      <c r="AF272" s="714"/>
      <c r="AG272" s="714"/>
      <c r="AH272" s="719">
        <v>0</v>
      </c>
    </row>
    <row r="273" spans="1:34" s="33" customFormat="1" ht="14">
      <c r="A273" s="650" t="s">
        <v>1331</v>
      </c>
      <c r="B273" s="647">
        <f t="shared" si="75"/>
        <v>0</v>
      </c>
      <c r="C273" s="648"/>
      <c r="D273" s="647">
        <f t="shared" si="76"/>
        <v>0</v>
      </c>
      <c r="E273" s="648"/>
      <c r="F273" s="647">
        <f t="shared" si="77"/>
        <v>0</v>
      </c>
      <c r="G273" s="648"/>
      <c r="H273" s="647">
        <f t="shared" si="78"/>
        <v>0</v>
      </c>
      <c r="I273" s="648"/>
      <c r="J273" s="647">
        <f t="shared" si="79"/>
        <v>0</v>
      </c>
      <c r="K273" s="648"/>
      <c r="L273" s="647">
        <f t="shared" si="80"/>
        <v>0</v>
      </c>
      <c r="M273" s="648"/>
      <c r="P273" s="704" t="s">
        <v>1331</v>
      </c>
      <c r="Q273" s="714"/>
      <c r="R273" s="714"/>
      <c r="S273" s="719">
        <v>0</v>
      </c>
      <c r="T273" s="714"/>
      <c r="U273" s="714"/>
      <c r="V273" s="719">
        <v>0</v>
      </c>
      <c r="W273" s="714"/>
      <c r="X273" s="714"/>
      <c r="Y273" s="719">
        <v>0</v>
      </c>
      <c r="Z273" s="714"/>
      <c r="AA273" s="714"/>
      <c r="AB273" s="719">
        <v>0</v>
      </c>
      <c r="AC273" s="714"/>
      <c r="AD273" s="714"/>
      <c r="AE273" s="719">
        <v>0</v>
      </c>
      <c r="AF273" s="714"/>
      <c r="AG273" s="714"/>
      <c r="AH273" s="719">
        <v>0</v>
      </c>
    </row>
    <row r="274" spans="1:34" s="33" customFormat="1" ht="14">
      <c r="A274" s="650" t="s">
        <v>1332</v>
      </c>
      <c r="B274" s="647">
        <f t="shared" si="75"/>
        <v>0</v>
      </c>
      <c r="C274" s="648"/>
      <c r="D274" s="647">
        <f t="shared" si="76"/>
        <v>0</v>
      </c>
      <c r="E274" s="648"/>
      <c r="F274" s="647">
        <f t="shared" si="77"/>
        <v>0</v>
      </c>
      <c r="G274" s="648"/>
      <c r="H274" s="647">
        <f t="shared" si="78"/>
        <v>0</v>
      </c>
      <c r="I274" s="648"/>
      <c r="J274" s="647">
        <f t="shared" si="79"/>
        <v>0</v>
      </c>
      <c r="K274" s="648"/>
      <c r="L274" s="647">
        <f t="shared" si="80"/>
        <v>0</v>
      </c>
      <c r="M274" s="648"/>
      <c r="P274" s="704" t="s">
        <v>1332</v>
      </c>
      <c r="Q274" s="714"/>
      <c r="R274" s="714"/>
      <c r="S274" s="719">
        <v>0</v>
      </c>
      <c r="T274" s="714"/>
      <c r="U274" s="714"/>
      <c r="V274" s="719">
        <v>0</v>
      </c>
      <c r="W274" s="714"/>
      <c r="X274" s="714"/>
      <c r="Y274" s="719">
        <v>0</v>
      </c>
      <c r="Z274" s="714"/>
      <c r="AA274" s="714"/>
      <c r="AB274" s="719">
        <v>0</v>
      </c>
      <c r="AC274" s="714"/>
      <c r="AD274" s="714"/>
      <c r="AE274" s="719">
        <v>0</v>
      </c>
      <c r="AF274" s="714"/>
      <c r="AG274" s="714"/>
      <c r="AH274" s="719">
        <v>0</v>
      </c>
    </row>
    <row r="275" spans="1:34" s="33" customFormat="1" ht="14">
      <c r="A275" s="650" t="s">
        <v>1333</v>
      </c>
      <c r="B275" s="647">
        <f t="shared" si="75"/>
        <v>0</v>
      </c>
      <c r="C275" s="648"/>
      <c r="D275" s="647">
        <f t="shared" si="76"/>
        <v>0</v>
      </c>
      <c r="E275" s="648"/>
      <c r="F275" s="647">
        <f t="shared" si="77"/>
        <v>0</v>
      </c>
      <c r="G275" s="648"/>
      <c r="H275" s="647">
        <f t="shared" si="78"/>
        <v>0</v>
      </c>
      <c r="I275" s="648"/>
      <c r="J275" s="647">
        <f t="shared" si="79"/>
        <v>0</v>
      </c>
      <c r="K275" s="648"/>
      <c r="L275" s="647">
        <f t="shared" si="80"/>
        <v>0</v>
      </c>
      <c r="M275" s="648"/>
      <c r="P275" s="704" t="s">
        <v>1333</v>
      </c>
      <c r="Q275" s="714"/>
      <c r="R275" s="714"/>
      <c r="S275" s="719">
        <v>0</v>
      </c>
      <c r="T275" s="714"/>
      <c r="U275" s="714"/>
      <c r="V275" s="719">
        <v>0</v>
      </c>
      <c r="W275" s="714"/>
      <c r="X275" s="714"/>
      <c r="Y275" s="719">
        <v>0</v>
      </c>
      <c r="Z275" s="714"/>
      <c r="AA275" s="714"/>
      <c r="AB275" s="719">
        <v>0</v>
      </c>
      <c r="AC275" s="714"/>
      <c r="AD275" s="714"/>
      <c r="AE275" s="719">
        <v>0</v>
      </c>
      <c r="AF275" s="714"/>
      <c r="AG275" s="714"/>
      <c r="AH275" s="719">
        <v>0</v>
      </c>
    </row>
    <row r="276" spans="1:34" s="33" customFormat="1" ht="14">
      <c r="A276" s="650" t="s">
        <v>1334</v>
      </c>
      <c r="B276" s="647">
        <f t="shared" si="75"/>
        <v>0</v>
      </c>
      <c r="C276" s="648"/>
      <c r="D276" s="647">
        <f t="shared" si="76"/>
        <v>0</v>
      </c>
      <c r="E276" s="648"/>
      <c r="F276" s="647">
        <f t="shared" si="77"/>
        <v>0</v>
      </c>
      <c r="G276" s="648"/>
      <c r="H276" s="647">
        <f t="shared" si="78"/>
        <v>0</v>
      </c>
      <c r="I276" s="648"/>
      <c r="J276" s="647">
        <f t="shared" si="79"/>
        <v>0</v>
      </c>
      <c r="K276" s="648"/>
      <c r="L276" s="647">
        <f t="shared" si="80"/>
        <v>0</v>
      </c>
      <c r="M276" s="648"/>
      <c r="P276" s="704" t="s">
        <v>1334</v>
      </c>
      <c r="Q276" s="714"/>
      <c r="R276" s="714"/>
      <c r="S276" s="719">
        <v>0</v>
      </c>
      <c r="T276" s="714"/>
      <c r="U276" s="714"/>
      <c r="V276" s="719">
        <v>0</v>
      </c>
      <c r="W276" s="714"/>
      <c r="X276" s="714"/>
      <c r="Y276" s="719">
        <v>0</v>
      </c>
      <c r="Z276" s="714"/>
      <c r="AA276" s="714"/>
      <c r="AB276" s="719">
        <v>0</v>
      </c>
      <c r="AC276" s="714"/>
      <c r="AD276" s="714"/>
      <c r="AE276" s="719">
        <v>0</v>
      </c>
      <c r="AF276" s="714"/>
      <c r="AG276" s="714"/>
      <c r="AH276" s="719">
        <v>0</v>
      </c>
    </row>
    <row r="277" spans="1:34" s="33" customFormat="1" ht="14">
      <c r="A277" s="650" t="s">
        <v>1335</v>
      </c>
      <c r="B277" s="647">
        <f t="shared" si="75"/>
        <v>0</v>
      </c>
      <c r="C277" s="648"/>
      <c r="D277" s="647">
        <f t="shared" si="76"/>
        <v>0</v>
      </c>
      <c r="E277" s="648"/>
      <c r="F277" s="647">
        <f t="shared" si="77"/>
        <v>0</v>
      </c>
      <c r="G277" s="648"/>
      <c r="H277" s="647">
        <f t="shared" si="78"/>
        <v>0</v>
      </c>
      <c r="I277" s="648"/>
      <c r="J277" s="647">
        <f t="shared" si="79"/>
        <v>0</v>
      </c>
      <c r="K277" s="648"/>
      <c r="L277" s="647">
        <f t="shared" si="80"/>
        <v>0</v>
      </c>
      <c r="M277" s="648"/>
      <c r="P277" s="704" t="s">
        <v>1335</v>
      </c>
      <c r="Q277" s="714"/>
      <c r="R277" s="714"/>
      <c r="S277" s="719">
        <v>0</v>
      </c>
      <c r="T277" s="714"/>
      <c r="U277" s="714"/>
      <c r="V277" s="719">
        <v>0</v>
      </c>
      <c r="W277" s="714"/>
      <c r="X277" s="714"/>
      <c r="Y277" s="719">
        <v>0</v>
      </c>
      <c r="Z277" s="714"/>
      <c r="AA277" s="714"/>
      <c r="AB277" s="719">
        <v>0</v>
      </c>
      <c r="AC277" s="714"/>
      <c r="AD277" s="714"/>
      <c r="AE277" s="719">
        <v>0</v>
      </c>
      <c r="AF277" s="714"/>
      <c r="AG277" s="714"/>
      <c r="AH277" s="719">
        <v>0</v>
      </c>
    </row>
    <row r="278" spans="1:34" s="33" customFormat="1" ht="14">
      <c r="A278" s="652" t="s">
        <v>1336</v>
      </c>
      <c r="B278" s="647">
        <f t="shared" si="75"/>
        <v>0</v>
      </c>
      <c r="C278" s="648"/>
      <c r="D278" s="647">
        <f t="shared" si="76"/>
        <v>0</v>
      </c>
      <c r="E278" s="648"/>
      <c r="F278" s="647">
        <f t="shared" si="77"/>
        <v>0</v>
      </c>
      <c r="G278" s="648"/>
      <c r="H278" s="647">
        <f t="shared" si="78"/>
        <v>0</v>
      </c>
      <c r="I278" s="648"/>
      <c r="J278" s="647">
        <f t="shared" si="79"/>
        <v>0</v>
      </c>
      <c r="K278" s="648"/>
      <c r="L278" s="647">
        <f t="shared" si="80"/>
        <v>0</v>
      </c>
      <c r="M278" s="648"/>
      <c r="P278" s="142" t="s">
        <v>1336</v>
      </c>
      <c r="Q278" s="714"/>
      <c r="R278" s="714"/>
      <c r="S278" s="719">
        <v>0</v>
      </c>
      <c r="T278" s="714"/>
      <c r="U278" s="714"/>
      <c r="V278" s="719">
        <v>0</v>
      </c>
      <c r="W278" s="714"/>
      <c r="X278" s="714"/>
      <c r="Y278" s="719">
        <v>384413</v>
      </c>
      <c r="Z278" s="714"/>
      <c r="AA278" s="714"/>
      <c r="AB278" s="719">
        <v>58000</v>
      </c>
      <c r="AC278" s="714"/>
      <c r="AD278" s="714"/>
      <c r="AE278" s="719">
        <v>10875</v>
      </c>
      <c r="AF278" s="714"/>
      <c r="AG278" s="714"/>
      <c r="AH278" s="719">
        <v>0</v>
      </c>
    </row>
    <row r="279" spans="1:34" s="33" customFormat="1" ht="14">
      <c r="A279" s="652" t="s">
        <v>1337</v>
      </c>
      <c r="B279" s="647">
        <f t="shared" si="75"/>
        <v>0</v>
      </c>
      <c r="C279" s="648"/>
      <c r="D279" s="647">
        <f t="shared" si="76"/>
        <v>0</v>
      </c>
      <c r="E279" s="648"/>
      <c r="F279" s="647">
        <f t="shared" si="77"/>
        <v>0</v>
      </c>
      <c r="G279" s="648"/>
      <c r="H279" s="647">
        <f t="shared" si="78"/>
        <v>0</v>
      </c>
      <c r="I279" s="648"/>
      <c r="J279" s="647">
        <f t="shared" si="79"/>
        <v>0</v>
      </c>
      <c r="K279" s="648"/>
      <c r="L279" s="647">
        <f t="shared" si="80"/>
        <v>0</v>
      </c>
      <c r="M279" s="648"/>
      <c r="P279" s="142" t="s">
        <v>1337</v>
      </c>
      <c r="Q279" s="714"/>
      <c r="R279" s="714"/>
      <c r="S279" s="719">
        <v>0</v>
      </c>
      <c r="T279" s="714"/>
      <c r="U279" s="714"/>
      <c r="V279" s="719">
        <v>0</v>
      </c>
      <c r="W279" s="714"/>
      <c r="X279" s="714"/>
      <c r="Y279" s="719">
        <v>0</v>
      </c>
      <c r="Z279" s="714"/>
      <c r="AA279" s="714"/>
      <c r="AB279" s="719">
        <v>0</v>
      </c>
      <c r="AC279" s="714"/>
      <c r="AD279" s="714"/>
      <c r="AE279" s="719">
        <v>0</v>
      </c>
      <c r="AF279" s="714"/>
      <c r="AG279" s="714"/>
      <c r="AH279" s="719">
        <v>0</v>
      </c>
    </row>
    <row r="280" spans="1:34" s="33" customFormat="1" ht="14">
      <c r="A280" s="650" t="s">
        <v>1338</v>
      </c>
      <c r="B280" s="647">
        <f t="shared" si="75"/>
        <v>0</v>
      </c>
      <c r="C280" s="648"/>
      <c r="D280" s="647">
        <f t="shared" si="76"/>
        <v>0</v>
      </c>
      <c r="E280" s="648"/>
      <c r="F280" s="647">
        <f t="shared" si="77"/>
        <v>0</v>
      </c>
      <c r="G280" s="648"/>
      <c r="H280" s="647">
        <f t="shared" si="78"/>
        <v>0</v>
      </c>
      <c r="I280" s="648"/>
      <c r="J280" s="647">
        <f t="shared" si="79"/>
        <v>0</v>
      </c>
      <c r="K280" s="648"/>
      <c r="L280" s="647">
        <f t="shared" si="80"/>
        <v>0</v>
      </c>
      <c r="M280" s="648"/>
      <c r="P280" s="704" t="s">
        <v>1338</v>
      </c>
      <c r="Q280" s="714"/>
      <c r="R280" s="714"/>
      <c r="S280" s="719">
        <v>0</v>
      </c>
      <c r="T280" s="714"/>
      <c r="U280" s="714"/>
      <c r="V280" s="719">
        <v>0</v>
      </c>
      <c r="W280" s="714"/>
      <c r="X280" s="714"/>
      <c r="Y280" s="719">
        <v>0</v>
      </c>
      <c r="Z280" s="714"/>
      <c r="AA280" s="714"/>
      <c r="AB280" s="719">
        <v>0</v>
      </c>
      <c r="AC280" s="714"/>
      <c r="AD280" s="714"/>
      <c r="AE280" s="719">
        <v>0</v>
      </c>
      <c r="AF280" s="714"/>
      <c r="AG280" s="714"/>
      <c r="AH280" s="719">
        <v>0</v>
      </c>
    </row>
    <row r="281" spans="1:34" s="33" customFormat="1" ht="14">
      <c r="A281" s="650" t="s">
        <v>1339</v>
      </c>
      <c r="B281" s="647">
        <f t="shared" si="75"/>
        <v>297758.04128133238</v>
      </c>
      <c r="C281" s="648"/>
      <c r="D281" s="647">
        <f t="shared" si="76"/>
        <v>287837.05288067646</v>
      </c>
      <c r="E281" s="648"/>
      <c r="F281" s="647">
        <f t="shared" si="77"/>
        <v>0</v>
      </c>
      <c r="G281" s="648"/>
      <c r="H281" s="647">
        <f t="shared" si="78"/>
        <v>0</v>
      </c>
      <c r="I281" s="648"/>
      <c r="J281" s="647">
        <f t="shared" si="79"/>
        <v>0</v>
      </c>
      <c r="K281" s="648"/>
      <c r="L281" s="647">
        <f t="shared" si="80"/>
        <v>0</v>
      </c>
      <c r="M281" s="648"/>
      <c r="P281" s="704" t="s">
        <v>1339</v>
      </c>
      <c r="Q281" s="714"/>
      <c r="R281" s="714"/>
      <c r="S281" s="719">
        <v>25511</v>
      </c>
      <c r="T281" s="714"/>
      <c r="U281" s="714"/>
      <c r="V281" s="719">
        <v>24661</v>
      </c>
      <c r="W281" s="714"/>
      <c r="X281" s="714"/>
      <c r="Y281" s="719">
        <v>0</v>
      </c>
      <c r="Z281" s="714"/>
      <c r="AA281" s="714"/>
      <c r="AB281" s="719">
        <v>0</v>
      </c>
      <c r="AC281" s="714"/>
      <c r="AD281" s="714"/>
      <c r="AE281" s="719">
        <v>0</v>
      </c>
      <c r="AF281" s="714"/>
      <c r="AG281" s="714"/>
      <c r="AH281" s="719">
        <v>0</v>
      </c>
    </row>
    <row r="282" spans="1:34" s="33" customFormat="1" ht="14">
      <c r="A282" s="650" t="s">
        <v>1340</v>
      </c>
      <c r="B282" s="647">
        <f t="shared" si="75"/>
        <v>0</v>
      </c>
      <c r="C282" s="648"/>
      <c r="D282" s="647">
        <f t="shared" si="76"/>
        <v>0</v>
      </c>
      <c r="E282" s="648"/>
      <c r="F282" s="647">
        <f t="shared" si="77"/>
        <v>0</v>
      </c>
      <c r="G282" s="648"/>
      <c r="H282" s="647">
        <f t="shared" si="78"/>
        <v>0</v>
      </c>
      <c r="I282" s="648"/>
      <c r="J282" s="647">
        <f t="shared" si="79"/>
        <v>0</v>
      </c>
      <c r="K282" s="648"/>
      <c r="L282" s="647">
        <f t="shared" si="80"/>
        <v>0</v>
      </c>
      <c r="M282" s="648"/>
      <c r="P282" s="704" t="s">
        <v>1340</v>
      </c>
      <c r="Q282" s="714"/>
      <c r="R282" s="714"/>
      <c r="S282" s="719">
        <v>0</v>
      </c>
      <c r="T282" s="714"/>
      <c r="U282" s="714"/>
      <c r="V282" s="719">
        <v>0</v>
      </c>
      <c r="W282" s="714"/>
      <c r="X282" s="714"/>
      <c r="Y282" s="719">
        <v>0</v>
      </c>
      <c r="Z282" s="714"/>
      <c r="AA282" s="714"/>
      <c r="AB282" s="719">
        <v>0</v>
      </c>
      <c r="AC282" s="714"/>
      <c r="AD282" s="714"/>
      <c r="AE282" s="719">
        <v>0</v>
      </c>
      <c r="AF282" s="714"/>
      <c r="AG282" s="714"/>
      <c r="AH282" s="719">
        <v>0</v>
      </c>
    </row>
    <row r="283" spans="1:34" s="33" customFormat="1" ht="14">
      <c r="A283" s="650" t="s">
        <v>1341</v>
      </c>
      <c r="B283" s="647">
        <f t="shared" si="75"/>
        <v>0</v>
      </c>
      <c r="C283" s="648"/>
      <c r="D283" s="647">
        <f t="shared" si="76"/>
        <v>0</v>
      </c>
      <c r="E283" s="648"/>
      <c r="F283" s="647">
        <f t="shared" si="77"/>
        <v>0</v>
      </c>
      <c r="G283" s="648"/>
      <c r="H283" s="647">
        <f t="shared" si="78"/>
        <v>0</v>
      </c>
      <c r="I283" s="648"/>
      <c r="J283" s="647">
        <f t="shared" si="79"/>
        <v>0</v>
      </c>
      <c r="K283" s="648"/>
      <c r="L283" s="647">
        <f t="shared" si="80"/>
        <v>0</v>
      </c>
      <c r="M283" s="648"/>
      <c r="P283" s="704" t="s">
        <v>1341</v>
      </c>
      <c r="Q283" s="714"/>
      <c r="R283" s="714"/>
      <c r="S283" s="719">
        <v>0</v>
      </c>
      <c r="T283" s="714"/>
      <c r="U283" s="714"/>
      <c r="V283" s="719">
        <v>0</v>
      </c>
      <c r="W283" s="714"/>
      <c r="X283" s="714"/>
      <c r="Y283" s="719">
        <v>0</v>
      </c>
      <c r="Z283" s="714"/>
      <c r="AA283" s="714"/>
      <c r="AB283" s="719">
        <v>0</v>
      </c>
      <c r="AC283" s="714"/>
      <c r="AD283" s="714"/>
      <c r="AE283" s="719">
        <v>0</v>
      </c>
      <c r="AF283" s="714"/>
      <c r="AG283" s="714"/>
      <c r="AH283" s="719">
        <v>0</v>
      </c>
    </row>
    <row r="284" spans="1:34" s="33" customFormat="1" ht="14">
      <c r="A284" s="650" t="s">
        <v>1342</v>
      </c>
      <c r="B284" s="647">
        <f t="shared" si="75"/>
        <v>0</v>
      </c>
      <c r="C284" s="648"/>
      <c r="D284" s="647">
        <f t="shared" si="76"/>
        <v>0</v>
      </c>
      <c r="E284" s="648"/>
      <c r="F284" s="647">
        <f t="shared" si="77"/>
        <v>0</v>
      </c>
      <c r="G284" s="648"/>
      <c r="H284" s="647">
        <f t="shared" si="78"/>
        <v>0</v>
      </c>
      <c r="I284" s="648"/>
      <c r="J284" s="647">
        <f t="shared" si="79"/>
        <v>0</v>
      </c>
      <c r="K284" s="648"/>
      <c r="L284" s="647">
        <f t="shared" si="80"/>
        <v>0</v>
      </c>
      <c r="M284" s="648"/>
      <c r="P284" s="704" t="s">
        <v>1342</v>
      </c>
      <c r="Q284" s="714"/>
      <c r="R284" s="714"/>
      <c r="S284" s="719">
        <v>0</v>
      </c>
      <c r="T284" s="714"/>
      <c r="U284" s="714"/>
      <c r="V284" s="719">
        <v>0</v>
      </c>
      <c r="W284" s="714"/>
      <c r="X284" s="714"/>
      <c r="Y284" s="719">
        <v>0</v>
      </c>
      <c r="Z284" s="714"/>
      <c r="AA284" s="714"/>
      <c r="AB284" s="719">
        <v>0</v>
      </c>
      <c r="AC284" s="714"/>
      <c r="AD284" s="714"/>
      <c r="AE284" s="719">
        <v>0</v>
      </c>
      <c r="AF284" s="714"/>
      <c r="AG284" s="714"/>
      <c r="AH284" s="719">
        <v>0</v>
      </c>
    </row>
    <row r="285" spans="1:34" s="33" customFormat="1" ht="14">
      <c r="A285" s="650" t="s">
        <v>1343</v>
      </c>
      <c r="B285" s="647">
        <f t="shared" si="75"/>
        <v>0</v>
      </c>
      <c r="C285" s="648"/>
      <c r="D285" s="647">
        <f t="shared" si="76"/>
        <v>0</v>
      </c>
      <c r="E285" s="648"/>
      <c r="F285" s="647">
        <f t="shared" si="77"/>
        <v>0</v>
      </c>
      <c r="G285" s="648"/>
      <c r="H285" s="647">
        <f t="shared" si="78"/>
        <v>0</v>
      </c>
      <c r="I285" s="648"/>
      <c r="J285" s="647">
        <f t="shared" si="79"/>
        <v>0</v>
      </c>
      <c r="K285" s="648"/>
      <c r="L285" s="647">
        <f t="shared" si="80"/>
        <v>0</v>
      </c>
      <c r="M285" s="648"/>
      <c r="P285" s="704" t="s">
        <v>1343</v>
      </c>
      <c r="Q285" s="714"/>
      <c r="R285" s="714"/>
      <c r="S285" s="719">
        <v>0</v>
      </c>
      <c r="T285" s="714"/>
      <c r="U285" s="714"/>
      <c r="V285" s="719">
        <v>0</v>
      </c>
      <c r="W285" s="714"/>
      <c r="X285" s="714"/>
      <c r="Y285" s="719">
        <v>0</v>
      </c>
      <c r="Z285" s="714"/>
      <c r="AA285" s="714"/>
      <c r="AB285" s="719">
        <v>0</v>
      </c>
      <c r="AC285" s="714"/>
      <c r="AD285" s="714"/>
      <c r="AE285" s="719">
        <v>0</v>
      </c>
      <c r="AF285" s="714"/>
      <c r="AG285" s="714"/>
      <c r="AH285" s="719">
        <v>0</v>
      </c>
    </row>
    <row r="286" spans="1:34" s="33" customFormat="1" ht="14">
      <c r="A286" s="188" t="s">
        <v>1344</v>
      </c>
      <c r="B286" s="647">
        <f t="shared" si="75"/>
        <v>0</v>
      </c>
      <c r="C286" s="648"/>
      <c r="D286" s="647">
        <f t="shared" si="76"/>
        <v>0</v>
      </c>
      <c r="E286" s="648"/>
      <c r="F286" s="647">
        <f t="shared" si="77"/>
        <v>0</v>
      </c>
      <c r="G286" s="648"/>
      <c r="H286" s="647">
        <f t="shared" si="78"/>
        <v>0</v>
      </c>
      <c r="I286" s="648"/>
      <c r="J286" s="647">
        <f t="shared" si="79"/>
        <v>0</v>
      </c>
      <c r="K286" s="648"/>
      <c r="L286" s="647">
        <f t="shared" si="80"/>
        <v>0</v>
      </c>
      <c r="M286" s="648"/>
      <c r="P286" s="188" t="s">
        <v>1344</v>
      </c>
      <c r="Q286" s="714"/>
      <c r="R286" s="714"/>
      <c r="S286" s="719">
        <v>0</v>
      </c>
      <c r="T286" s="714"/>
      <c r="U286" s="714"/>
      <c r="V286" s="719">
        <v>0</v>
      </c>
      <c r="W286" s="714"/>
      <c r="X286" s="714"/>
      <c r="Y286" s="719">
        <v>0</v>
      </c>
      <c r="Z286" s="714"/>
      <c r="AA286" s="714"/>
      <c r="AB286" s="719">
        <v>0</v>
      </c>
      <c r="AC286" s="714"/>
      <c r="AD286" s="714"/>
      <c r="AE286" s="719">
        <v>0</v>
      </c>
      <c r="AF286" s="714"/>
      <c r="AG286" s="714"/>
      <c r="AH286" s="719">
        <v>0</v>
      </c>
    </row>
    <row r="287" spans="1:34" s="33" customFormat="1" ht="14">
      <c r="A287" s="650" t="s">
        <v>1345</v>
      </c>
      <c r="B287" s="647">
        <f t="shared" si="75"/>
        <v>0</v>
      </c>
      <c r="C287" s="648"/>
      <c r="D287" s="647">
        <f t="shared" si="76"/>
        <v>0</v>
      </c>
      <c r="E287" s="648"/>
      <c r="F287" s="647">
        <f t="shared" si="77"/>
        <v>0</v>
      </c>
      <c r="G287" s="648"/>
      <c r="H287" s="647">
        <f t="shared" si="78"/>
        <v>0</v>
      </c>
      <c r="I287" s="648"/>
      <c r="J287" s="647">
        <f t="shared" si="79"/>
        <v>0</v>
      </c>
      <c r="K287" s="648"/>
      <c r="L287" s="647">
        <f t="shared" si="80"/>
        <v>0</v>
      </c>
      <c r="M287" s="648"/>
      <c r="P287" s="704" t="s">
        <v>1345</v>
      </c>
      <c r="Q287" s="714"/>
      <c r="R287" s="714"/>
      <c r="S287" s="719">
        <v>0</v>
      </c>
      <c r="T287" s="714"/>
      <c r="U287" s="714"/>
      <c r="V287" s="719">
        <v>0</v>
      </c>
      <c r="W287" s="714"/>
      <c r="X287" s="714"/>
      <c r="Y287" s="719">
        <v>0</v>
      </c>
      <c r="Z287" s="714"/>
      <c r="AA287" s="714"/>
      <c r="AB287" s="719">
        <v>0</v>
      </c>
      <c r="AC287" s="714"/>
      <c r="AD287" s="714"/>
      <c r="AE287" s="719">
        <v>0</v>
      </c>
      <c r="AF287" s="714"/>
      <c r="AG287" s="714"/>
      <c r="AH287" s="719">
        <v>0</v>
      </c>
    </row>
    <row r="288" spans="1:34" s="33" customFormat="1" ht="14">
      <c r="A288" s="650" t="s">
        <v>1346</v>
      </c>
      <c r="B288" s="647">
        <f t="shared" si="75"/>
        <v>0</v>
      </c>
      <c r="C288" s="648"/>
      <c r="D288" s="647">
        <f t="shared" si="76"/>
        <v>0</v>
      </c>
      <c r="E288" s="648"/>
      <c r="F288" s="647">
        <f t="shared" si="77"/>
        <v>0</v>
      </c>
      <c r="G288" s="648"/>
      <c r="H288" s="647">
        <f t="shared" si="78"/>
        <v>0</v>
      </c>
      <c r="I288" s="648"/>
      <c r="J288" s="647">
        <f t="shared" si="79"/>
        <v>0</v>
      </c>
      <c r="K288" s="648"/>
      <c r="L288" s="647">
        <f t="shared" si="80"/>
        <v>0</v>
      </c>
      <c r="M288" s="648"/>
      <c r="P288" s="704" t="s">
        <v>1346</v>
      </c>
      <c r="Q288" s="714"/>
      <c r="R288" s="714"/>
      <c r="S288" s="719">
        <v>177117</v>
      </c>
      <c r="T288" s="714"/>
      <c r="U288" s="714"/>
      <c r="V288" s="719">
        <v>239745</v>
      </c>
      <c r="W288" s="714"/>
      <c r="X288" s="714"/>
      <c r="Y288" s="719">
        <v>0</v>
      </c>
      <c r="Z288" s="714"/>
      <c r="AA288" s="714"/>
      <c r="AB288" s="719">
        <v>0</v>
      </c>
      <c r="AC288" s="714"/>
      <c r="AD288" s="714"/>
      <c r="AE288" s="719">
        <v>0</v>
      </c>
      <c r="AF288" s="714"/>
      <c r="AG288" s="714"/>
      <c r="AH288" s="719">
        <v>0</v>
      </c>
    </row>
    <row r="289" spans="1:43" s="33" customFormat="1" ht="14.5" thickBot="1">
      <c r="A289" s="662" t="s">
        <v>1347</v>
      </c>
      <c r="B289" s="647">
        <f t="shared" si="75"/>
        <v>0</v>
      </c>
      <c r="C289" s="648"/>
      <c r="D289" s="647">
        <f t="shared" si="76"/>
        <v>0</v>
      </c>
      <c r="E289" s="648"/>
      <c r="F289" s="647">
        <f t="shared" si="77"/>
        <v>0</v>
      </c>
      <c r="G289" s="648"/>
      <c r="H289" s="647">
        <f t="shared" si="78"/>
        <v>0</v>
      </c>
      <c r="I289" s="648"/>
      <c r="J289" s="647">
        <f t="shared" si="79"/>
        <v>0</v>
      </c>
      <c r="K289" s="648"/>
      <c r="L289" s="647">
        <f t="shared" si="80"/>
        <v>0</v>
      </c>
      <c r="M289" s="648"/>
      <c r="P289" s="704" t="s">
        <v>1347</v>
      </c>
      <c r="Q289" s="714"/>
      <c r="R289" s="714"/>
      <c r="S289" s="730">
        <v>0</v>
      </c>
      <c r="T289" s="714"/>
      <c r="U289" s="714"/>
      <c r="V289" s="719">
        <v>0</v>
      </c>
      <c r="W289" s="714"/>
      <c r="X289" s="714"/>
      <c r="Y289" s="719">
        <v>0</v>
      </c>
      <c r="Z289" s="714"/>
      <c r="AA289" s="714"/>
      <c r="AB289" s="719">
        <v>0</v>
      </c>
      <c r="AC289" s="714"/>
      <c r="AD289" s="714"/>
      <c r="AE289" s="719">
        <v>0</v>
      </c>
      <c r="AF289" s="714"/>
      <c r="AG289" s="714"/>
      <c r="AH289" s="719">
        <v>0</v>
      </c>
    </row>
    <row r="290" spans="1:43" s="33" customFormat="1" ht="14.5" thickBot="1">
      <c r="A290" s="662" t="s">
        <v>2442</v>
      </c>
      <c r="B290" s="647"/>
      <c r="C290" s="648"/>
      <c r="D290" s="647"/>
      <c r="E290" s="648"/>
      <c r="F290" s="647"/>
      <c r="G290" s="648"/>
      <c r="H290" s="647"/>
      <c r="I290" s="648"/>
      <c r="J290" s="647"/>
      <c r="K290" s="648"/>
      <c r="L290" s="647"/>
      <c r="M290" s="648"/>
      <c r="P290" s="715" t="s">
        <v>2427</v>
      </c>
      <c r="Q290" s="714"/>
      <c r="R290" s="714"/>
      <c r="S290" s="730">
        <v>0</v>
      </c>
      <c r="T290" s="714"/>
      <c r="U290" s="714"/>
      <c r="V290" s="719">
        <v>0</v>
      </c>
      <c r="W290" s="714"/>
      <c r="X290" s="714"/>
      <c r="Y290" s="719">
        <v>0</v>
      </c>
      <c r="Z290" s="714"/>
      <c r="AA290" s="714"/>
      <c r="AB290" s="719">
        <v>0</v>
      </c>
      <c r="AC290" s="714"/>
      <c r="AD290" s="714"/>
      <c r="AE290" s="719">
        <v>0</v>
      </c>
      <c r="AF290" s="714"/>
      <c r="AG290" s="714"/>
      <c r="AH290" s="731">
        <v>2962061</v>
      </c>
      <c r="AI290" s="676">
        <f>S290+V290+Y290+AB290+AE290+AH290</f>
        <v>2962061</v>
      </c>
    </row>
    <row r="291" spans="1:43" s="33" customFormat="1" ht="14">
      <c r="A291" s="655"/>
      <c r="B291" s="663"/>
      <c r="C291" s="663"/>
      <c r="D291" s="663"/>
      <c r="E291" s="663"/>
      <c r="F291" s="663"/>
      <c r="G291" s="663"/>
      <c r="H291" s="663"/>
      <c r="I291" s="663"/>
      <c r="J291" s="663"/>
      <c r="K291" s="663"/>
      <c r="L291" s="663"/>
      <c r="M291" s="663"/>
      <c r="P291" s="705" t="s">
        <v>196</v>
      </c>
      <c r="Q291" s="714"/>
      <c r="R291" s="714"/>
      <c r="S291" s="706">
        <v>202628</v>
      </c>
      <c r="T291" s="714"/>
      <c r="U291" s="714"/>
      <c r="V291" s="706">
        <v>264406</v>
      </c>
      <c r="W291" s="714"/>
      <c r="X291" s="714"/>
      <c r="Y291" s="706">
        <v>463740</v>
      </c>
      <c r="Z291" s="714"/>
      <c r="AA291" s="714"/>
      <c r="AB291" s="706">
        <v>58000</v>
      </c>
      <c r="AC291" s="714"/>
      <c r="AD291" s="714"/>
      <c r="AE291" s="706">
        <v>10875</v>
      </c>
      <c r="AF291" s="714"/>
      <c r="AG291" s="714"/>
      <c r="AH291" s="706">
        <v>2962061</v>
      </c>
      <c r="AI291" s="140">
        <f>S291+V291+Y291+AB291+AE291+AH291</f>
        <v>3961710</v>
      </c>
    </row>
    <row r="292" spans="1:43" s="33" customFormat="1" ht="14">
      <c r="A292" s="680"/>
      <c r="B292" s="666"/>
      <c r="C292" s="666"/>
      <c r="D292" s="666"/>
      <c r="E292" s="666"/>
      <c r="F292" s="28"/>
      <c r="G292" s="28"/>
      <c r="H292" s="28"/>
      <c r="I292" s="666"/>
      <c r="J292" s="666"/>
      <c r="K292" s="666"/>
      <c r="L292" s="666"/>
      <c r="M292" s="666"/>
      <c r="N292" s="666"/>
    </row>
    <row r="293" spans="1:43" s="33" customFormat="1" ht="13.5" thickBot="1">
      <c r="C293" s="56"/>
      <c r="D293" s="56"/>
      <c r="E293" s="52"/>
      <c r="G293" s="52"/>
      <c r="H293" s="52"/>
      <c r="I293" s="52"/>
      <c r="J293" s="52"/>
      <c r="M293" s="671"/>
      <c r="N293" s="671"/>
    </row>
    <row r="294" spans="1:43" s="33" customFormat="1" ht="14.5" thickBot="1">
      <c r="C294" s="61"/>
      <c r="D294" s="61"/>
      <c r="E294" s="61"/>
      <c r="F294" s="62"/>
      <c r="G294" s="681"/>
      <c r="H294" s="682"/>
      <c r="I294" s="682"/>
      <c r="J294" s="682"/>
      <c r="M294" s="671"/>
      <c r="N294" s="671"/>
      <c r="P294" s="872" t="s">
        <v>2909</v>
      </c>
      <c r="Q294" s="914" t="s">
        <v>1617</v>
      </c>
      <c r="R294" s="914"/>
      <c r="S294" s="914"/>
      <c r="T294" s="914"/>
      <c r="U294" s="914"/>
      <c r="V294" s="914"/>
      <c r="W294" s="914"/>
      <c r="X294" s="914"/>
      <c r="Y294" s="914"/>
      <c r="Z294" s="914"/>
      <c r="AA294" s="914"/>
      <c r="AB294" s="914"/>
      <c r="AC294" s="914"/>
      <c r="AD294" s="914"/>
      <c r="AE294" s="914"/>
      <c r="AF294" s="914"/>
      <c r="AG294" s="914"/>
      <c r="AH294" s="914"/>
      <c r="AI294" s="914"/>
      <c r="AJ294" s="914"/>
      <c r="AK294" s="914"/>
      <c r="AL294" s="914"/>
      <c r="AM294" s="914"/>
      <c r="AN294" s="914"/>
      <c r="AO294" s="914"/>
      <c r="AP294" s="914"/>
      <c r="AQ294" s="914"/>
    </row>
    <row r="295" spans="1:43" s="33" customFormat="1" ht="14.5" thickBot="1">
      <c r="H295" s="57"/>
      <c r="I295" s="37"/>
      <c r="J295" s="37"/>
      <c r="L295" s="658"/>
      <c r="M295" s="671"/>
      <c r="N295" s="671"/>
      <c r="P295" s="873"/>
      <c r="Q295" s="909" t="s">
        <v>232</v>
      </c>
      <c r="R295" s="909"/>
      <c r="S295" s="909"/>
      <c r="T295" s="909" t="s">
        <v>212</v>
      </c>
      <c r="U295" s="909"/>
      <c r="V295" s="909"/>
      <c r="W295" s="909" t="s">
        <v>228</v>
      </c>
      <c r="X295" s="909"/>
      <c r="Y295" s="909"/>
      <c r="Z295" s="909" t="s">
        <v>229</v>
      </c>
      <c r="AA295" s="909"/>
      <c r="AB295" s="909"/>
      <c r="AC295" s="909" t="s">
        <v>231</v>
      </c>
      <c r="AD295" s="909"/>
      <c r="AE295" s="909"/>
      <c r="AF295" s="909" t="s">
        <v>230</v>
      </c>
      <c r="AG295" s="909"/>
      <c r="AH295" s="909"/>
      <c r="AI295" s="909" t="s">
        <v>233</v>
      </c>
      <c r="AJ295" s="909"/>
      <c r="AK295" s="909"/>
      <c r="AL295" s="909" t="s">
        <v>2660</v>
      </c>
      <c r="AM295" s="909"/>
      <c r="AN295" s="909"/>
      <c r="AO295" s="911" t="s">
        <v>234</v>
      </c>
      <c r="AP295" s="912"/>
      <c r="AQ295" s="913"/>
    </row>
    <row r="296" spans="1:43" s="33" customFormat="1" ht="14">
      <c r="C296" s="56"/>
      <c r="D296" s="56"/>
      <c r="E296" s="52"/>
      <c r="G296" s="52"/>
      <c r="H296" s="63"/>
      <c r="I296" s="63"/>
      <c r="J296" s="63"/>
      <c r="L296" s="658"/>
      <c r="M296" s="671"/>
      <c r="N296" s="671"/>
      <c r="P296" s="141" t="s">
        <v>1616</v>
      </c>
      <c r="Q296" s="142"/>
      <c r="R296" s="683"/>
      <c r="S296" s="684">
        <f>S113+T138+S163+S188+S213+S239+T265+S291</f>
        <v>3239532</v>
      </c>
      <c r="T296" s="142"/>
      <c r="U296" s="683"/>
      <c r="V296" s="684">
        <f>V88+X138+V163+V188+V213+V239+X265+V291+Q52</f>
        <v>7839679</v>
      </c>
      <c r="W296" s="142"/>
      <c r="X296" s="683"/>
      <c r="Y296" s="685">
        <f>Y88+Y113+Y163+Y188+Y213+Y239+AB265+Y291</f>
        <v>1626578</v>
      </c>
      <c r="Z296" s="142"/>
      <c r="AA296" s="683"/>
      <c r="AB296" s="685">
        <f>AB88+AB113+AF138+AB188+AB213+AB239+AF265+AB291</f>
        <v>1086721</v>
      </c>
      <c r="AC296" s="142"/>
      <c r="AD296" s="683"/>
      <c r="AE296" s="685">
        <f>AE88+AE113+AJ138+AE163+AE213+AE239+AJ265+AE291</f>
        <v>731278</v>
      </c>
      <c r="AF296" s="142"/>
      <c r="AG296" s="683"/>
      <c r="AH296" s="685">
        <f>AH88+AH113+AN138+AH163+AH188+AH239+AN265+AH291</f>
        <v>5184844</v>
      </c>
      <c r="AI296" s="142"/>
      <c r="AJ296" s="683"/>
      <c r="AK296" s="144" t="s">
        <v>1383</v>
      </c>
      <c r="AL296" s="686"/>
      <c r="AM296" s="687"/>
      <c r="AN296" s="144" t="s">
        <v>1383</v>
      </c>
      <c r="AO296" s="686"/>
      <c r="AP296" s="687"/>
      <c r="AQ296" s="144" t="s">
        <v>1383</v>
      </c>
    </row>
    <row r="297" spans="1:43" s="33" customFormat="1" ht="14">
      <c r="C297" s="61"/>
      <c r="D297" s="61"/>
      <c r="E297" s="61"/>
      <c r="F297" s="62"/>
      <c r="G297" s="681"/>
      <c r="H297" s="61"/>
      <c r="I297" s="61"/>
      <c r="J297" s="61"/>
      <c r="K297" s="688"/>
      <c r="L297" s="671"/>
      <c r="M297" s="671"/>
      <c r="N297" s="671"/>
      <c r="P297" s="142" t="s">
        <v>1618</v>
      </c>
      <c r="Q297" s="142"/>
      <c r="R297" s="683"/>
      <c r="S297" s="684">
        <f>V88+Y88+AB88+AE88+AH88</f>
        <v>927418</v>
      </c>
      <c r="T297" s="142"/>
      <c r="U297" s="683"/>
      <c r="V297" s="684">
        <f>S113+Y113+AB113+AE113+AH113</f>
        <v>614552</v>
      </c>
      <c r="W297" s="142"/>
      <c r="X297" s="683"/>
      <c r="Y297" s="685">
        <f>T138+X138+AF138+AJ138+AN138</f>
        <v>4003426</v>
      </c>
      <c r="Z297" s="142"/>
      <c r="AA297" s="683"/>
      <c r="AB297" s="685">
        <f>S163+V163+Y163+AE163+AH163</f>
        <v>5059709</v>
      </c>
      <c r="AC297" s="142"/>
      <c r="AD297" s="683"/>
      <c r="AE297" s="685">
        <f>S188+V188+Y188+AB188+AH188</f>
        <v>102027</v>
      </c>
      <c r="AF297" s="142"/>
      <c r="AG297" s="683"/>
      <c r="AH297" s="685">
        <f>S213+V213+Y213+AB213+AE213</f>
        <v>1308133</v>
      </c>
      <c r="AI297" s="142"/>
      <c r="AJ297" s="683"/>
      <c r="AK297" s="685">
        <f>S239+V239+Y239+AB239+AE239+AH239+Q52</f>
        <v>3454010</v>
      </c>
      <c r="AL297" s="142"/>
      <c r="AM297" s="683"/>
      <c r="AN297" s="685">
        <f>T265+X265+AB265+AF265+AJ265+AN265</f>
        <v>277647</v>
      </c>
      <c r="AO297" s="142"/>
      <c r="AP297" s="683"/>
      <c r="AQ297" s="685">
        <f>S291+V291+Y291+AB291+AE291+AH291</f>
        <v>3961710</v>
      </c>
    </row>
    <row r="298" spans="1:43" s="33" customFormat="1" ht="14">
      <c r="A298" s="658"/>
      <c r="B298" s="658"/>
      <c r="C298" s="61"/>
      <c r="D298" s="61"/>
      <c r="E298" s="61"/>
      <c r="F298" s="62"/>
      <c r="G298" s="681"/>
      <c r="H298" s="61"/>
      <c r="I298" s="61"/>
      <c r="J298" s="61"/>
      <c r="K298" s="688"/>
      <c r="L298" s="671"/>
      <c r="M298" s="671"/>
      <c r="N298" s="671"/>
      <c r="P298" s="142" t="s">
        <v>2755</v>
      </c>
      <c r="Q298" s="141"/>
      <c r="R298" s="689"/>
      <c r="S298" s="690">
        <f>R88+U88+X88+AA88+AD88+AG88</f>
        <v>810407</v>
      </c>
      <c r="T298" s="141"/>
      <c r="U298" s="689"/>
      <c r="V298" s="690">
        <f>R113+U113+X113+AA113+AD113+AG113</f>
        <v>2615500</v>
      </c>
      <c r="W298" s="141"/>
      <c r="X298" s="689"/>
      <c r="Y298" s="691">
        <f>R138+V138+Z138+AD138+AH138+AL138</f>
        <v>1157913</v>
      </c>
      <c r="Z298" s="141"/>
      <c r="AA298" s="689"/>
      <c r="AB298" s="691">
        <f>R163+U163+X163+AA163+AD163+AG163</f>
        <v>129688</v>
      </c>
      <c r="AC298" s="141"/>
      <c r="AD298" s="689"/>
      <c r="AE298" s="691">
        <f>R188+U188+X188+AA188+AD188+AG188</f>
        <v>144352</v>
      </c>
      <c r="AF298" s="141"/>
      <c r="AG298" s="689"/>
      <c r="AH298" s="691">
        <f>R213+U213+X213+AA213+AD213+AG213</f>
        <v>412427</v>
      </c>
      <c r="AI298" s="141"/>
      <c r="AJ298" s="689"/>
      <c r="AK298" s="143" t="s">
        <v>1383</v>
      </c>
      <c r="AL298" s="692"/>
      <c r="AM298" s="693"/>
      <c r="AN298" s="143" t="s">
        <v>1383</v>
      </c>
      <c r="AO298" s="692"/>
      <c r="AP298" s="693"/>
      <c r="AQ298" s="143" t="s">
        <v>1383</v>
      </c>
    </row>
    <row r="299" spans="1:43" s="33" customFormat="1" ht="14">
      <c r="A299" s="658"/>
      <c r="B299" s="658"/>
      <c r="C299" s="61"/>
      <c r="D299" s="61"/>
      <c r="E299" s="61"/>
      <c r="F299" s="62"/>
      <c r="G299" s="681"/>
      <c r="H299" s="61"/>
      <c r="I299" s="61"/>
      <c r="J299" s="61"/>
      <c r="K299" s="688"/>
      <c r="L299" s="671"/>
      <c r="M299" s="671"/>
      <c r="N299" s="671"/>
      <c r="P299" s="142" t="s">
        <v>2705</v>
      </c>
      <c r="Q299" s="141"/>
      <c r="R299" s="689"/>
      <c r="S299" s="690">
        <f>Q113+Q138+Q163+Q188+Q213</f>
        <v>2125353</v>
      </c>
      <c r="T299" s="141"/>
      <c r="U299" s="689"/>
      <c r="V299" s="690">
        <f>T88+U138+T163+T188+T213</f>
        <v>4627907</v>
      </c>
      <c r="W299" s="141"/>
      <c r="X299" s="689"/>
      <c r="Y299" s="690">
        <f>W88+W113+W163+W188+W213</f>
        <v>1162838</v>
      </c>
      <c r="Z299" s="141"/>
      <c r="AA299" s="689"/>
      <c r="AB299" s="690">
        <f>Z88+Z113+AC138+Z188+Z213</f>
        <v>727349</v>
      </c>
      <c r="AC299" s="141"/>
      <c r="AD299" s="689"/>
      <c r="AE299" s="690">
        <f>AC88+AC113+AG138+AC163+AC213</f>
        <v>451562</v>
      </c>
      <c r="AF299" s="142"/>
      <c r="AG299" s="683"/>
      <c r="AH299" s="685">
        <f>AF88+AF113+AK138+AF163+AF188</f>
        <v>2114625</v>
      </c>
    </row>
    <row r="300" spans="1:43" s="33" customFormat="1" ht="14">
      <c r="A300" s="658"/>
      <c r="B300" s="658"/>
      <c r="C300" s="61"/>
      <c r="D300" s="61"/>
      <c r="E300" s="61"/>
      <c r="F300" s="62"/>
      <c r="G300" s="681"/>
      <c r="H300" s="61"/>
      <c r="I300" s="61"/>
      <c r="J300" s="61"/>
      <c r="K300" s="688"/>
      <c r="L300" s="671"/>
      <c r="M300" s="671"/>
      <c r="N300" s="671"/>
      <c r="O300" s="37"/>
      <c r="P300" s="142" t="s">
        <v>2706</v>
      </c>
      <c r="Q300" s="141"/>
      <c r="R300" s="689"/>
      <c r="S300" s="690">
        <f>T88+W88+Z88+AC88+AF88</f>
        <v>903087</v>
      </c>
      <c r="T300" s="141"/>
      <c r="U300" s="689"/>
      <c r="V300" s="690">
        <f>Q113+W113+Z113+AC113+AF113</f>
        <v>573431</v>
      </c>
      <c r="W300" s="141"/>
      <c r="X300" s="689"/>
      <c r="Y300" s="690">
        <f>Q138+U138+AC138+AG138+AK138</f>
        <v>3695821</v>
      </c>
      <c r="Z300" s="141"/>
      <c r="AA300" s="689"/>
      <c r="AB300" s="690">
        <f>Q163+T163+W163+AC163+AF163</f>
        <v>4977938</v>
      </c>
      <c r="AC300" s="141"/>
      <c r="AD300" s="689"/>
      <c r="AE300" s="690">
        <f>Q188+T188+W188+Z188+AF188</f>
        <v>33996</v>
      </c>
      <c r="AF300" s="142"/>
      <c r="AG300" s="683"/>
      <c r="AH300" s="685">
        <f>Q213+T213+W213+Z213+AC213</f>
        <v>1025361</v>
      </c>
    </row>
    <row r="301" spans="1:43" s="33" customFormat="1" ht="14">
      <c r="A301" s="658"/>
      <c r="B301" s="658"/>
      <c r="C301" s="61"/>
      <c r="D301" s="61"/>
      <c r="E301" s="61"/>
      <c r="F301" s="62"/>
      <c r="G301" s="681"/>
      <c r="H301" s="61"/>
      <c r="I301" s="61"/>
      <c r="J301" s="61"/>
      <c r="M301" s="674"/>
      <c r="N301" s="671"/>
      <c r="T301" s="820"/>
      <c r="U301" s="820"/>
      <c r="V301" s="820"/>
    </row>
    <row r="302" spans="1:43" s="33" customFormat="1" ht="14">
      <c r="A302" s="658"/>
      <c r="B302" s="658"/>
      <c r="C302" s="61"/>
      <c r="D302" s="61"/>
      <c r="E302" s="61"/>
      <c r="F302" s="62"/>
      <c r="G302" s="681"/>
      <c r="H302" s="61"/>
      <c r="I302" s="61"/>
      <c r="J302" s="61"/>
      <c r="M302" s="674"/>
      <c r="N302" s="671"/>
      <c r="R302" s="671"/>
      <c r="S302" s="671"/>
      <c r="T302" s="820"/>
      <c r="U302" s="820"/>
      <c r="V302" s="820"/>
      <c r="W302" s="671"/>
      <c r="X302" s="671"/>
      <c r="Y302" s="671"/>
      <c r="Z302" s="671"/>
      <c r="AA302" s="671"/>
      <c r="AB302" s="671"/>
      <c r="AC302" s="671"/>
      <c r="AD302" s="671"/>
      <c r="AE302" s="671"/>
      <c r="AF302" s="671"/>
      <c r="AG302" s="671"/>
      <c r="AH302" s="671"/>
    </row>
    <row r="303" spans="1:43" s="33" customFormat="1" ht="14">
      <c r="A303" s="694"/>
      <c r="B303" s="694"/>
      <c r="C303" s="61"/>
      <c r="D303" s="61"/>
      <c r="E303" s="61"/>
      <c r="F303" s="62"/>
      <c r="G303" s="681"/>
      <c r="H303" s="61"/>
      <c r="I303" s="61"/>
      <c r="J303" s="61"/>
      <c r="M303" s="674"/>
      <c r="N303" s="671"/>
      <c r="Q303" s="147"/>
      <c r="U303" s="671"/>
      <c r="Y303" s="536"/>
    </row>
    <row r="304" spans="1:43" s="33" customFormat="1" ht="14">
      <c r="A304" s="694"/>
      <c r="B304" s="694"/>
      <c r="C304" s="61"/>
      <c r="D304" s="61"/>
      <c r="E304" s="61"/>
      <c r="F304" s="62"/>
      <c r="G304" s="681"/>
      <c r="H304" s="61"/>
      <c r="I304" s="61"/>
      <c r="J304" s="61"/>
      <c r="U304" s="671"/>
      <c r="V304" s="671"/>
    </row>
    <row r="305" spans="1:14" s="33" customFormat="1" ht="14">
      <c r="A305" s="658"/>
      <c r="B305" s="658"/>
      <c r="C305" s="61"/>
      <c r="D305" s="61"/>
      <c r="E305" s="61"/>
      <c r="F305" s="62"/>
      <c r="G305" s="681"/>
      <c r="H305" s="61"/>
      <c r="I305" s="61"/>
      <c r="J305" s="61"/>
    </row>
    <row r="306" spans="1:14" s="33" customFormat="1" ht="14">
      <c r="A306" s="658"/>
      <c r="B306" s="658"/>
      <c r="C306" s="61"/>
      <c r="D306" s="61"/>
      <c r="E306" s="61"/>
      <c r="F306" s="62"/>
      <c r="G306" s="681"/>
      <c r="H306" s="61"/>
      <c r="I306" s="61"/>
      <c r="J306" s="61"/>
      <c r="K306" s="536"/>
      <c r="M306" s="536"/>
      <c r="N306" s="536"/>
    </row>
    <row r="307" spans="1:14" s="33" customFormat="1" ht="14">
      <c r="A307" s="658"/>
      <c r="B307" s="658"/>
      <c r="C307" s="61"/>
      <c r="D307" s="61"/>
      <c r="E307" s="61"/>
      <c r="F307" s="62"/>
      <c r="G307" s="681"/>
      <c r="H307" s="61"/>
      <c r="I307" s="61"/>
      <c r="J307" s="61"/>
      <c r="M307" s="52"/>
    </row>
    <row r="308" spans="1:14" s="33" customFormat="1" ht="14">
      <c r="A308" s="658"/>
      <c r="B308" s="658"/>
      <c r="C308" s="61"/>
      <c r="D308" s="61"/>
      <c r="E308" s="61"/>
      <c r="F308" s="695"/>
      <c r="G308" s="681"/>
      <c r="H308" s="61"/>
      <c r="I308" s="61"/>
      <c r="J308" s="61"/>
      <c r="K308" s="688"/>
      <c r="L308" s="671"/>
      <c r="M308" s="671"/>
      <c r="N308" s="667"/>
    </row>
    <row r="309" spans="1:14" s="33" customFormat="1" ht="14">
      <c r="A309" s="658"/>
      <c r="B309" s="658"/>
      <c r="C309" s="61"/>
      <c r="D309" s="61"/>
      <c r="E309" s="61"/>
      <c r="F309" s="62"/>
      <c r="G309" s="681"/>
      <c r="H309" s="61"/>
      <c r="I309" s="61"/>
      <c r="J309" s="61"/>
      <c r="K309" s="688"/>
      <c r="L309" s="671"/>
      <c r="M309" s="671"/>
      <c r="N309" s="667"/>
    </row>
    <row r="310" spans="1:14" s="33" customFormat="1" ht="14">
      <c r="A310" s="658"/>
      <c r="B310" s="658"/>
      <c r="C310" s="61"/>
      <c r="D310" s="61"/>
      <c r="E310" s="61"/>
      <c r="F310" s="62"/>
      <c r="G310" s="681"/>
      <c r="H310" s="61"/>
      <c r="I310" s="61"/>
      <c r="J310" s="61"/>
      <c r="K310" s="688"/>
      <c r="L310" s="671"/>
      <c r="M310" s="671"/>
      <c r="N310" s="667"/>
    </row>
  </sheetData>
  <mergeCells count="212">
    <mergeCell ref="AO243:AO244"/>
    <mergeCell ref="Q242:AN242"/>
    <mergeCell ref="AI295:AK295"/>
    <mergeCell ref="AL295:AN295"/>
    <mergeCell ref="AO295:AQ295"/>
    <mergeCell ref="Q294:AQ294"/>
    <mergeCell ref="Q295:S295"/>
    <mergeCell ref="T295:V295"/>
    <mergeCell ref="W295:Y295"/>
    <mergeCell ref="Z295:AB295"/>
    <mergeCell ref="AC295:AE295"/>
    <mergeCell ref="AF295:AH295"/>
    <mergeCell ref="A142:A143"/>
    <mergeCell ref="A167:A168"/>
    <mergeCell ref="A192:A193"/>
    <mergeCell ref="K192:K193"/>
    <mergeCell ref="G217:G218"/>
    <mergeCell ref="I217:I218"/>
    <mergeCell ref="A243:A244"/>
    <mergeCell ref="P268:P270"/>
    <mergeCell ref="A67:A68"/>
    <mergeCell ref="A92:A93"/>
    <mergeCell ref="A117:A118"/>
    <mergeCell ref="A217:A218"/>
    <mergeCell ref="H192:H193"/>
    <mergeCell ref="B217:B218"/>
    <mergeCell ref="C217:C218"/>
    <mergeCell ref="D217:D218"/>
    <mergeCell ref="E217:E218"/>
    <mergeCell ref="F217:F218"/>
    <mergeCell ref="Q116:AN116"/>
    <mergeCell ref="P191:P193"/>
    <mergeCell ref="F192:F193"/>
    <mergeCell ref="A269:A270"/>
    <mergeCell ref="A191:M191"/>
    <mergeCell ref="A242:M242"/>
    <mergeCell ref="Q243:T243"/>
    <mergeCell ref="U243:X243"/>
    <mergeCell ref="B117:B118"/>
    <mergeCell ref="AK243:AN243"/>
    <mergeCell ref="W217:Y217"/>
    <mergeCell ref="M192:M193"/>
    <mergeCell ref="J192:J193"/>
    <mergeCell ref="AF192:AH192"/>
    <mergeCell ref="G192:G193"/>
    <mergeCell ref="AG243:AJ243"/>
    <mergeCell ref="K217:K218"/>
    <mergeCell ref="J217:J218"/>
    <mergeCell ref="L217:L218"/>
    <mergeCell ref="G243:G244"/>
    <mergeCell ref="W167:Y167"/>
    <mergeCell ref="Q141:AH141"/>
    <mergeCell ref="Z142:AB142"/>
    <mergeCell ref="Y243:AB243"/>
    <mergeCell ref="AC243:AF243"/>
    <mergeCell ref="P216:P218"/>
    <mergeCell ref="AC192:AE192"/>
    <mergeCell ref="AF217:AH217"/>
    <mergeCell ref="T192:V192"/>
    <mergeCell ref="W192:Y192"/>
    <mergeCell ref="L192:L193"/>
    <mergeCell ref="P65:AH65"/>
    <mergeCell ref="P66:P68"/>
    <mergeCell ref="P91:P93"/>
    <mergeCell ref="P116:P118"/>
    <mergeCell ref="P141:P143"/>
    <mergeCell ref="P166:P168"/>
    <mergeCell ref="U117:X117"/>
    <mergeCell ref="AF167:AH167"/>
    <mergeCell ref="T167:V167"/>
    <mergeCell ref="H217:H218"/>
    <mergeCell ref="AK117:AN117"/>
    <mergeCell ref="AC217:AE217"/>
    <mergeCell ref="M217:M218"/>
    <mergeCell ref="Q217:S217"/>
    <mergeCell ref="M117:M118"/>
    <mergeCell ref="Z167:AB167"/>
    <mergeCell ref="AC167:AE167"/>
    <mergeCell ref="A216:M216"/>
    <mergeCell ref="I192:I193"/>
    <mergeCell ref="L142:L143"/>
    <mergeCell ref="H142:H143"/>
    <mergeCell ref="I167:I168"/>
    <mergeCell ref="K167:K168"/>
    <mergeCell ref="H167:H168"/>
    <mergeCell ref="M167:M168"/>
    <mergeCell ref="L117:L118"/>
    <mergeCell ref="C117:C118"/>
    <mergeCell ref="E117:E118"/>
    <mergeCell ref="G117:G118"/>
    <mergeCell ref="G142:G143"/>
    <mergeCell ref="E167:E168"/>
    <mergeCell ref="F167:F168"/>
    <mergeCell ref="G167:G168"/>
    <mergeCell ref="J167:J168"/>
    <mergeCell ref="A166:M166"/>
    <mergeCell ref="D142:D143"/>
    <mergeCell ref="B167:B168"/>
    <mergeCell ref="C167:C168"/>
    <mergeCell ref="D167:D168"/>
    <mergeCell ref="A141:M141"/>
    <mergeCell ref="M142:M143"/>
    <mergeCell ref="E142:E143"/>
    <mergeCell ref="F142:F143"/>
    <mergeCell ref="J142:J143"/>
    <mergeCell ref="K142:K143"/>
    <mergeCell ref="H117:H118"/>
    <mergeCell ref="I92:I93"/>
    <mergeCell ref="D67:D68"/>
    <mergeCell ref="J117:J118"/>
    <mergeCell ref="B192:B193"/>
    <mergeCell ref="C192:C193"/>
    <mergeCell ref="D192:D193"/>
    <mergeCell ref="E192:E193"/>
    <mergeCell ref="B142:B143"/>
    <mergeCell ref="C142:C143"/>
    <mergeCell ref="AF67:AH67"/>
    <mergeCell ref="J67:J68"/>
    <mergeCell ref="G92:G93"/>
    <mergeCell ref="K92:K93"/>
    <mergeCell ref="M92:M93"/>
    <mergeCell ref="K67:K68"/>
    <mergeCell ref="L67:L68"/>
    <mergeCell ref="M67:M68"/>
    <mergeCell ref="W92:Y92"/>
    <mergeCell ref="Z92:AB92"/>
    <mergeCell ref="B67:B68"/>
    <mergeCell ref="C67:C68"/>
    <mergeCell ref="J92:J93"/>
    <mergeCell ref="D92:D93"/>
    <mergeCell ref="E92:E93"/>
    <mergeCell ref="F92:F93"/>
    <mergeCell ref="B92:B93"/>
    <mergeCell ref="E67:E68"/>
    <mergeCell ref="F67:F68"/>
    <mergeCell ref="B34:K34"/>
    <mergeCell ref="Q66:AH66"/>
    <mergeCell ref="Q67:S67"/>
    <mergeCell ref="T67:V67"/>
    <mergeCell ref="W67:Y67"/>
    <mergeCell ref="Z67:AB67"/>
    <mergeCell ref="AC67:AE67"/>
    <mergeCell ref="G67:G68"/>
    <mergeCell ref="H67:H68"/>
    <mergeCell ref="I67:I68"/>
    <mergeCell ref="H243:H244"/>
    <mergeCell ref="I243:I244"/>
    <mergeCell ref="L92:L93"/>
    <mergeCell ref="AF92:AH92"/>
    <mergeCell ref="T142:V142"/>
    <mergeCell ref="W142:Y142"/>
    <mergeCell ref="Q117:T117"/>
    <mergeCell ref="Y117:AB117"/>
    <mergeCell ref="AC117:AF117"/>
    <mergeCell ref="AG117:AJ117"/>
    <mergeCell ref="Q166:AH166"/>
    <mergeCell ref="Z217:AB217"/>
    <mergeCell ref="L167:L168"/>
    <mergeCell ref="C92:C93"/>
    <mergeCell ref="H92:H93"/>
    <mergeCell ref="AF142:AH142"/>
    <mergeCell ref="I117:I118"/>
    <mergeCell ref="K117:K118"/>
    <mergeCell ref="D117:D118"/>
    <mergeCell ref="F117:F118"/>
    <mergeCell ref="J243:J244"/>
    <mergeCell ref="K243:K244"/>
    <mergeCell ref="L243:L244"/>
    <mergeCell ref="Q167:S167"/>
    <mergeCell ref="Q216:AH216"/>
    <mergeCell ref="M243:M244"/>
    <mergeCell ref="Q191:AH191"/>
    <mergeCell ref="Q192:S192"/>
    <mergeCell ref="Z192:AB192"/>
    <mergeCell ref="T217:V217"/>
    <mergeCell ref="D243:D244"/>
    <mergeCell ref="Q91:AH91"/>
    <mergeCell ref="Q92:S92"/>
    <mergeCell ref="T92:V92"/>
    <mergeCell ref="AC92:AE92"/>
    <mergeCell ref="F243:F244"/>
    <mergeCell ref="E243:E244"/>
    <mergeCell ref="AC142:AE142"/>
    <mergeCell ref="Q142:S142"/>
    <mergeCell ref="I142:I143"/>
    <mergeCell ref="F269:F270"/>
    <mergeCell ref="G269:G270"/>
    <mergeCell ref="Q269:S269"/>
    <mergeCell ref="T269:V269"/>
    <mergeCell ref="J269:J270"/>
    <mergeCell ref="K269:K270"/>
    <mergeCell ref="L269:L270"/>
    <mergeCell ref="A65:M65"/>
    <mergeCell ref="A91:M91"/>
    <mergeCell ref="A116:M116"/>
    <mergeCell ref="B243:B244"/>
    <mergeCell ref="C243:C244"/>
    <mergeCell ref="W269:Y269"/>
    <mergeCell ref="B269:B270"/>
    <mergeCell ref="C269:C270"/>
    <mergeCell ref="D269:D270"/>
    <mergeCell ref="A66:M66"/>
    <mergeCell ref="P294:P295"/>
    <mergeCell ref="M269:M270"/>
    <mergeCell ref="H269:H270"/>
    <mergeCell ref="I269:I270"/>
    <mergeCell ref="Q268:AH268"/>
    <mergeCell ref="Z269:AB269"/>
    <mergeCell ref="AC269:AE269"/>
    <mergeCell ref="AF269:AH269"/>
    <mergeCell ref="A268:M268"/>
    <mergeCell ref="E269:E270"/>
  </mergeCells>
  <pageMargins left="0.7" right="0.7" top="0.75" bottom="0.75" header="0.3" footer="0.3"/>
  <pageSetup scale="49" orientation="landscape"/>
  <rowBreaks count="5" manualBreakCount="5">
    <brk id="64" max="16383" man="1"/>
    <brk id="115" max="16383" man="1"/>
    <brk id="165" max="16383" man="1"/>
    <brk id="215" max="16383" man="1"/>
    <brk id="267" max="16383" man="1"/>
  </rowBreaks>
  <colBreaks count="1" manualBreakCount="1">
    <brk id="36" max="1048575" man="1"/>
  </col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249977111117893"/>
    <pageSetUpPr fitToPage="1"/>
  </sheetPr>
  <dimension ref="A2:X223"/>
  <sheetViews>
    <sheetView topLeftCell="A24" zoomScaleNormal="100" workbookViewId="0">
      <selection activeCell="B35" sqref="B35"/>
    </sheetView>
  </sheetViews>
  <sheetFormatPr defaultColWidth="9.1796875" defaultRowHeight="12.5"/>
  <cols>
    <col min="1" max="1" width="3.36328125" style="28" customWidth="1"/>
    <col min="2" max="2" width="20.6328125" style="28" customWidth="1"/>
    <col min="3" max="3" width="17.6328125" style="28" customWidth="1"/>
    <col min="4" max="4" width="15" style="28" customWidth="1"/>
    <col min="5" max="5" width="14.81640625" style="28" bestFit="1" customWidth="1"/>
    <col min="6" max="6" width="13.453125" style="28" customWidth="1"/>
    <col min="7" max="7" width="29.453125" style="28" customWidth="1"/>
    <col min="8" max="8" width="17.1796875" style="28" customWidth="1"/>
    <col min="9" max="9" width="41.6328125" style="28" customWidth="1"/>
    <col min="10" max="10" width="26.36328125" style="28" customWidth="1"/>
    <col min="11" max="11" width="19.1796875" style="28" customWidth="1"/>
    <col min="12" max="14" width="15.1796875" style="28" customWidth="1"/>
    <col min="15" max="15" width="17.81640625" style="28" customWidth="1"/>
    <col min="16" max="16" width="15.1796875" style="28" customWidth="1"/>
    <col min="17" max="16384" width="9.1796875" style="28"/>
  </cols>
  <sheetData>
    <row r="2" spans="2:16" ht="15" customHeight="1" thickBot="1">
      <c r="C2" s="319" t="s">
        <v>1485</v>
      </c>
      <c r="I2" s="319" t="s">
        <v>1598</v>
      </c>
      <c r="P2" s="92"/>
    </row>
    <row r="3" spans="2:16" ht="48" customHeight="1" thickBot="1">
      <c r="B3" s="543"/>
      <c r="C3" s="544"/>
      <c r="D3" s="544"/>
      <c r="E3" s="544"/>
      <c r="F3" s="544"/>
      <c r="G3" s="545"/>
      <c r="I3" s="546" t="s">
        <v>217</v>
      </c>
      <c r="J3" s="547" t="s">
        <v>336</v>
      </c>
      <c r="K3" s="548" t="s">
        <v>337</v>
      </c>
      <c r="L3" s="548" t="s">
        <v>1595</v>
      </c>
      <c r="M3" s="548" t="s">
        <v>338</v>
      </c>
      <c r="N3" s="549" t="s">
        <v>1608</v>
      </c>
      <c r="O3" s="550" t="s">
        <v>1607</v>
      </c>
    </row>
    <row r="4" spans="2:16" ht="14.25" customHeight="1">
      <c r="B4" s="87"/>
      <c r="C4" s="916" t="s">
        <v>2902</v>
      </c>
      <c r="D4" s="917"/>
      <c r="E4" s="917"/>
      <c r="F4" s="918"/>
      <c r="G4" s="146"/>
      <c r="I4" s="551" t="s">
        <v>221</v>
      </c>
      <c r="J4" s="552"/>
      <c r="K4" s="552"/>
      <c r="L4" s="552"/>
      <c r="M4" s="552"/>
      <c r="N4" s="553"/>
      <c r="O4" s="554"/>
    </row>
    <row r="5" spans="2:16" ht="12.75" customHeight="1">
      <c r="B5" s="87"/>
      <c r="C5" s="919"/>
      <c r="D5" s="920"/>
      <c r="E5" s="920"/>
      <c r="F5" s="921"/>
      <c r="G5" s="146"/>
      <c r="I5" s="555" t="s">
        <v>400</v>
      </c>
      <c r="J5" s="556">
        <f>K148*0.95</f>
        <v>209.0376193056039</v>
      </c>
      <c r="K5" s="556">
        <f>K116</f>
        <v>205.69104599999997</v>
      </c>
      <c r="L5" s="556">
        <f>D97*$C$90</f>
        <v>205.6471979936</v>
      </c>
      <c r="M5" s="556"/>
      <c r="N5" s="557">
        <f t="shared" ref="N5:N17" si="0">IF(K5&gt;0,K5,(IF(L5&gt;0,L5,(IF(J5&gt;0,J5,M5)))))</f>
        <v>205.69104599999997</v>
      </c>
      <c r="O5" s="558" t="str">
        <f t="shared" ref="O5:O17" si="1">IF(N5=J5,"IPCC",(IF(N5=K5,"EIA",(IF(N5=L5,"EPA",(IF(N5=M5,"Average")))))))</f>
        <v>EIA</v>
      </c>
    </row>
    <row r="6" spans="2:16" ht="12.75" customHeight="1">
      <c r="B6" s="87"/>
      <c r="C6" s="919"/>
      <c r="D6" s="920"/>
      <c r="E6" s="920"/>
      <c r="F6" s="921"/>
      <c r="G6" s="146"/>
      <c r="I6" s="555" t="s">
        <v>401</v>
      </c>
      <c r="J6" s="556">
        <f>K149*0.95</f>
        <v>212.35216929459335</v>
      </c>
      <c r="K6" s="556">
        <f>K130</f>
        <v>214.289064</v>
      </c>
      <c r="L6" s="556">
        <f>D98*$C$90</f>
        <v>214.22317998539998</v>
      </c>
      <c r="M6" s="556"/>
      <c r="N6" s="557">
        <f t="shared" si="0"/>
        <v>214.289064</v>
      </c>
      <c r="O6" s="558" t="str">
        <f t="shared" si="1"/>
        <v>EIA</v>
      </c>
    </row>
    <row r="7" spans="2:16" ht="12.75" customHeight="1">
      <c r="B7" s="87"/>
      <c r="C7" s="919"/>
      <c r="D7" s="920"/>
      <c r="E7" s="920"/>
      <c r="F7" s="921"/>
      <c r="G7" s="146"/>
      <c r="I7" s="555" t="s">
        <v>389</v>
      </c>
      <c r="J7" s="556"/>
      <c r="K7" s="556">
        <f>K117</f>
        <v>161.28999919999998</v>
      </c>
      <c r="L7" s="556">
        <f>D108*C90</f>
        <v>161.48860691499999</v>
      </c>
      <c r="M7" s="556"/>
      <c r="N7" s="557">
        <f t="shared" si="0"/>
        <v>161.28999919999998</v>
      </c>
      <c r="O7" s="558" t="str">
        <f t="shared" si="1"/>
        <v>EIA</v>
      </c>
    </row>
    <row r="8" spans="2:16" ht="15" customHeight="1" thickBot="1">
      <c r="B8" s="87"/>
      <c r="C8" s="922"/>
      <c r="D8" s="923"/>
      <c r="E8" s="923"/>
      <c r="F8" s="924"/>
      <c r="G8" s="146"/>
      <c r="I8" s="555" t="s">
        <v>388</v>
      </c>
      <c r="J8" s="556">
        <f>K151*0.9</f>
        <v>117.43973960988026</v>
      </c>
      <c r="K8" s="556">
        <f>K123</f>
        <v>116.99918339999999</v>
      </c>
      <c r="L8" s="556">
        <f>D106*C90</f>
        <v>116.9772762172</v>
      </c>
      <c r="M8" s="556"/>
      <c r="N8" s="557">
        <f t="shared" si="0"/>
        <v>116.99918339999999</v>
      </c>
      <c r="O8" s="558" t="str">
        <f t="shared" si="1"/>
        <v>EIA</v>
      </c>
    </row>
    <row r="9" spans="2:16">
      <c r="B9" s="87"/>
      <c r="F9" s="145"/>
      <c r="G9" s="146"/>
      <c r="I9" s="555" t="s">
        <v>402</v>
      </c>
      <c r="J9" s="556">
        <f>K153*0.95</f>
        <v>202.62948932689085</v>
      </c>
      <c r="K9" s="556"/>
      <c r="L9" s="556"/>
      <c r="M9" s="556"/>
      <c r="N9" s="557">
        <f t="shared" si="0"/>
        <v>202.62948932689085</v>
      </c>
      <c r="O9" s="558" t="str">
        <f t="shared" si="1"/>
        <v>IPCC</v>
      </c>
    </row>
    <row r="10" spans="2:16" ht="14">
      <c r="B10" s="87"/>
      <c r="C10" s="559" t="s">
        <v>1482</v>
      </c>
      <c r="D10" s="559" t="s">
        <v>215</v>
      </c>
      <c r="E10" s="559" t="s">
        <v>216</v>
      </c>
      <c r="F10" s="145"/>
      <c r="G10" s="146"/>
      <c r="I10" s="555" t="s">
        <v>403</v>
      </c>
      <c r="J10" s="556"/>
      <c r="K10" s="556"/>
      <c r="L10" s="556"/>
      <c r="M10" s="556">
        <f>AVERAGE(N5:N9,N11:N17,N20:N23,N25:N27)</f>
        <v>179.14351195860297</v>
      </c>
      <c r="N10" s="557">
        <f t="shared" si="0"/>
        <v>179.14351195860297</v>
      </c>
      <c r="O10" s="558" t="str">
        <f t="shared" si="1"/>
        <v>Average</v>
      </c>
    </row>
    <row r="11" spans="2:16" ht="14">
      <c r="B11" s="87"/>
      <c r="C11" s="560" t="s">
        <v>2941</v>
      </c>
      <c r="D11" s="561">
        <f>IF(C11=C14,D14,IF(C11=C15,D15,IF(C11=C16,D16,IF(C11=C17,D17))))</f>
        <v>25</v>
      </c>
      <c r="E11" s="561">
        <f>IF(D11=D14,E14,IF(D11=D15,E15,IF(D11=D16,E16,IF(D11=D17,E17))))</f>
        <v>298</v>
      </c>
      <c r="F11" s="145"/>
      <c r="G11" s="146"/>
      <c r="I11" s="555" t="s">
        <v>398</v>
      </c>
      <c r="J11" s="556"/>
      <c r="K11" s="556">
        <f>K131</f>
        <v>189.53118139999998</v>
      </c>
      <c r="L11" s="556">
        <f>D142*C90</f>
        <v>189.5314066414</v>
      </c>
      <c r="M11" s="556"/>
      <c r="N11" s="557">
        <f t="shared" si="0"/>
        <v>189.53118139999998</v>
      </c>
      <c r="O11" s="558" t="str">
        <f t="shared" si="1"/>
        <v>EIA</v>
      </c>
    </row>
    <row r="12" spans="2:16">
      <c r="B12" s="87"/>
      <c r="C12" s="145"/>
      <c r="D12" s="145"/>
      <c r="E12" s="145"/>
      <c r="F12" s="145"/>
      <c r="G12" s="146"/>
      <c r="I12" s="555" t="s">
        <v>391</v>
      </c>
      <c r="J12" s="556">
        <f>K156*0.95</f>
        <v>215.44574928431689</v>
      </c>
      <c r="K12" s="556">
        <f>K124</f>
        <v>225.09170199999997</v>
      </c>
      <c r="L12" s="556">
        <f>D130*C90</f>
        <v>225.77540251419998</v>
      </c>
      <c r="M12" s="556"/>
      <c r="N12" s="557">
        <f t="shared" si="0"/>
        <v>225.09170199999997</v>
      </c>
      <c r="O12" s="558" t="str">
        <f t="shared" si="1"/>
        <v>EIA</v>
      </c>
    </row>
    <row r="13" spans="2:16" ht="14">
      <c r="B13" s="87"/>
      <c r="C13" s="561"/>
      <c r="D13" s="562" t="s">
        <v>215</v>
      </c>
      <c r="E13" s="562" t="s">
        <v>216</v>
      </c>
      <c r="F13" s="145"/>
      <c r="G13" s="146"/>
      <c r="I13" s="555" t="s">
        <v>390</v>
      </c>
      <c r="J13" s="556">
        <f>K157*0.95</f>
        <v>171.0307794318577</v>
      </c>
      <c r="K13" s="556">
        <f>K127</f>
        <v>173.70200979999998</v>
      </c>
      <c r="L13" s="556">
        <f>D112*C90</f>
        <v>165.56715876199999</v>
      </c>
      <c r="M13" s="556"/>
      <c r="N13" s="557">
        <f t="shared" si="0"/>
        <v>173.70200979999998</v>
      </c>
      <c r="O13" s="558" t="str">
        <f t="shared" si="1"/>
        <v>EIA</v>
      </c>
    </row>
    <row r="14" spans="2:16" ht="14">
      <c r="B14" s="87"/>
      <c r="C14" s="562" t="s">
        <v>2941</v>
      </c>
      <c r="D14" s="563">
        <v>25</v>
      </c>
      <c r="E14" s="563">
        <v>298</v>
      </c>
      <c r="F14" s="145"/>
      <c r="G14" s="146"/>
      <c r="I14" s="555" t="s">
        <v>392</v>
      </c>
      <c r="J14" s="556">
        <f>K158*0.95</f>
        <v>157.99354947516574</v>
      </c>
      <c r="K14" s="556">
        <f>K119</f>
        <v>156.307558</v>
      </c>
      <c r="L14" s="556">
        <f>D137*C90</f>
        <v>159.21784561639998</v>
      </c>
      <c r="M14" s="556"/>
      <c r="N14" s="557">
        <f t="shared" si="0"/>
        <v>156.307558</v>
      </c>
      <c r="O14" s="558" t="str">
        <f t="shared" si="1"/>
        <v>EIA</v>
      </c>
    </row>
    <row r="15" spans="2:16" ht="14">
      <c r="B15" s="87"/>
      <c r="C15" s="562" t="s">
        <v>2942</v>
      </c>
      <c r="D15" s="563">
        <v>28</v>
      </c>
      <c r="E15" s="563">
        <v>265</v>
      </c>
      <c r="F15" s="145"/>
      <c r="G15" s="146"/>
      <c r="I15" s="555" t="s">
        <v>393</v>
      </c>
      <c r="J15" s="556">
        <f>K159*0.95</f>
        <v>158.87742947222955</v>
      </c>
      <c r="K15" s="556">
        <f>K120</f>
        <v>159.39402599999997</v>
      </c>
      <c r="L15" s="556">
        <f>D114*C90</f>
        <v>165.787621024</v>
      </c>
      <c r="M15" s="556"/>
      <c r="N15" s="557">
        <f t="shared" si="0"/>
        <v>159.39402599999997</v>
      </c>
      <c r="O15" s="558" t="str">
        <f t="shared" si="1"/>
        <v>EIA</v>
      </c>
    </row>
    <row r="16" spans="2:16" ht="14">
      <c r="B16" s="87"/>
      <c r="C16" s="562" t="s">
        <v>2943</v>
      </c>
      <c r="D16" s="745">
        <v>72</v>
      </c>
      <c r="E16" s="745">
        <v>289</v>
      </c>
      <c r="F16" s="145"/>
      <c r="G16" s="146"/>
      <c r="I16" s="555" t="s">
        <v>394</v>
      </c>
      <c r="J16" s="556">
        <f>K160*0.95</f>
        <v>161.97100946195312</v>
      </c>
      <c r="K16" s="556">
        <f>K132</f>
        <v>205.69104599999997</v>
      </c>
      <c r="L16" s="556"/>
      <c r="M16" s="556"/>
      <c r="N16" s="557">
        <f t="shared" si="0"/>
        <v>205.69104599999997</v>
      </c>
      <c r="O16" s="558" t="str">
        <f t="shared" si="1"/>
        <v>EIA</v>
      </c>
    </row>
    <row r="17" spans="2:15" ht="14">
      <c r="B17" s="87"/>
      <c r="C17" s="562" t="s">
        <v>2944</v>
      </c>
      <c r="D17" s="745">
        <v>84</v>
      </c>
      <c r="E17" s="745">
        <v>264</v>
      </c>
      <c r="F17" s="145"/>
      <c r="G17" s="146"/>
      <c r="I17" s="555" t="s">
        <v>448</v>
      </c>
      <c r="J17" s="556"/>
      <c r="K17" s="556">
        <f>K125</f>
        <v>139.04538339999999</v>
      </c>
      <c r="L17" s="556">
        <f>D116*C90</f>
        <v>138.60462411939997</v>
      </c>
      <c r="M17" s="556"/>
      <c r="N17" s="557">
        <f t="shared" si="0"/>
        <v>139.04538339999999</v>
      </c>
      <c r="O17" s="558" t="str">
        <f t="shared" si="1"/>
        <v>EIA</v>
      </c>
    </row>
    <row r="18" spans="2:15" ht="14">
      <c r="B18" s="87"/>
      <c r="C18" s="564" t="s">
        <v>1483</v>
      </c>
      <c r="D18" s="145"/>
      <c r="E18" s="145"/>
      <c r="F18" s="145"/>
      <c r="G18" s="146"/>
      <c r="I18" s="555"/>
      <c r="J18" s="556"/>
      <c r="K18" s="556"/>
      <c r="L18" s="556"/>
      <c r="M18" s="556"/>
      <c r="N18" s="557"/>
      <c r="O18" s="558"/>
    </row>
    <row r="19" spans="2:15" ht="14">
      <c r="B19" s="87"/>
      <c r="C19" s="564" t="s">
        <v>1484</v>
      </c>
      <c r="D19" s="145"/>
      <c r="E19" s="145"/>
      <c r="F19" s="145"/>
      <c r="G19" s="146"/>
      <c r="I19" s="551" t="s">
        <v>227</v>
      </c>
      <c r="J19" s="556"/>
      <c r="K19" s="556"/>
      <c r="L19" s="556"/>
      <c r="M19" s="556"/>
      <c r="N19" s="557"/>
      <c r="O19" s="558"/>
    </row>
    <row r="20" spans="2:15">
      <c r="B20" s="87"/>
      <c r="D20" s="145"/>
      <c r="E20" s="145"/>
      <c r="F20" s="145"/>
      <c r="G20" s="146"/>
      <c r="I20" s="565" t="s">
        <v>396</v>
      </c>
      <c r="J20" s="556">
        <f>K164*0.9</f>
        <v>114.29963962031128</v>
      </c>
      <c r="K20" s="556"/>
      <c r="L20" s="556">
        <f>D156*C90</f>
        <v>114.79469982339999</v>
      </c>
      <c r="M20" s="556"/>
      <c r="N20" s="557">
        <f t="shared" ref="N20:N27" si="2">IF(K20&gt;0,K20,(IF(L20&gt;0,L20,(IF(J20&gt;0,J20,M20)))))</f>
        <v>114.79469982339999</v>
      </c>
      <c r="O20" s="558" t="str">
        <f t="shared" ref="O20:O27" si="3">IF(N20=J20,"IPCC",(IF(N20=K20,"EIA",(IF(N20=L20,"EPA",(IF(N20=M20,"Average")))))))</f>
        <v>EPA</v>
      </c>
    </row>
    <row r="21" spans="2:15">
      <c r="B21" s="87"/>
      <c r="F21" s="145"/>
      <c r="G21" s="146"/>
      <c r="I21" s="565" t="s">
        <v>399</v>
      </c>
      <c r="J21" s="556">
        <f>K165*0.9</f>
        <v>209.33999930459942</v>
      </c>
      <c r="K21" s="556"/>
      <c r="L21" s="556"/>
      <c r="M21" s="556"/>
      <c r="N21" s="557">
        <f t="shared" si="2"/>
        <v>209.33999930459942</v>
      </c>
      <c r="O21" s="558" t="str">
        <f t="shared" si="3"/>
        <v>IPCC</v>
      </c>
    </row>
    <row r="22" spans="2:15" ht="13" thickBot="1">
      <c r="B22" s="566"/>
      <c r="C22" s="567"/>
      <c r="D22" s="567"/>
      <c r="E22" s="567"/>
      <c r="F22" s="567"/>
      <c r="G22" s="568"/>
      <c r="I22" s="565" t="s">
        <v>395</v>
      </c>
      <c r="J22" s="556">
        <f>K166*0.9</f>
        <v>199.50101933728322</v>
      </c>
      <c r="K22" s="556"/>
      <c r="L22" s="556"/>
      <c r="M22" s="556"/>
      <c r="N22" s="557">
        <f t="shared" si="2"/>
        <v>199.50101933728322</v>
      </c>
      <c r="O22" s="558" t="str">
        <f t="shared" si="3"/>
        <v>IPCC</v>
      </c>
    </row>
    <row r="23" spans="2:15">
      <c r="I23" s="565" t="s">
        <v>404</v>
      </c>
      <c r="J23" s="556">
        <f>K167*0.9</f>
        <v>234.46079922115135</v>
      </c>
      <c r="K23" s="556"/>
      <c r="L23" s="556">
        <f>D151*C90</f>
        <v>206.79360175599999</v>
      </c>
      <c r="M23" s="556"/>
      <c r="N23" s="557">
        <f t="shared" si="2"/>
        <v>206.79360175599999</v>
      </c>
      <c r="O23" s="558" t="str">
        <f t="shared" si="3"/>
        <v>EPA</v>
      </c>
    </row>
    <row r="24" spans="2:15">
      <c r="I24" s="565" t="s">
        <v>397</v>
      </c>
      <c r="J24" s="556"/>
      <c r="K24" s="556"/>
      <c r="L24" s="556"/>
      <c r="M24" s="556">
        <f>AVERAGE(N5:N9,N11:N17,N20:N23,N25:N27)</f>
        <v>179.14351195860297</v>
      </c>
      <c r="N24" s="557">
        <f t="shared" si="2"/>
        <v>179.14351195860297</v>
      </c>
      <c r="O24" s="558" t="str">
        <f t="shared" si="3"/>
        <v>Average</v>
      </c>
    </row>
    <row r="25" spans="2:15">
      <c r="I25" s="565" t="s">
        <v>450</v>
      </c>
      <c r="J25" s="556">
        <f>K168*0.9</f>
        <v>209.33999930459942</v>
      </c>
      <c r="K25" s="556"/>
      <c r="L25" s="556"/>
      <c r="M25" s="556"/>
      <c r="N25" s="557">
        <f t="shared" si="2"/>
        <v>209.33999930459942</v>
      </c>
      <c r="O25" s="558" t="str">
        <f t="shared" si="3"/>
        <v>IPCC</v>
      </c>
    </row>
    <row r="26" spans="2:15" ht="16" thickBot="1">
      <c r="B26" s="319" t="s">
        <v>1609</v>
      </c>
      <c r="I26" s="565" t="s">
        <v>2657</v>
      </c>
      <c r="J26" s="556">
        <f>K166*0.9</f>
        <v>199.50101933728322</v>
      </c>
      <c r="K26" s="556"/>
      <c r="L26" s="556"/>
      <c r="M26" s="556"/>
      <c r="N26" s="557">
        <f t="shared" si="2"/>
        <v>199.50101933728322</v>
      </c>
      <c r="O26" s="558" t="str">
        <f t="shared" si="3"/>
        <v>IPCC</v>
      </c>
    </row>
    <row r="27" spans="2:15" ht="13.5" customHeight="1" thickBot="1">
      <c r="B27" s="925" t="s">
        <v>1610</v>
      </c>
      <c r="C27" s="926"/>
      <c r="D27" s="926"/>
      <c r="E27" s="926"/>
      <c r="F27" s="926"/>
      <c r="G27" s="927"/>
      <c r="I27" s="569" t="s">
        <v>449</v>
      </c>
      <c r="J27" s="570">
        <f>K169*0.9</f>
        <v>114.29963962031128</v>
      </c>
      <c r="K27" s="570"/>
      <c r="L27" s="570">
        <f>D157*C90</f>
        <v>114.79469982339999</v>
      </c>
      <c r="M27" s="570"/>
      <c r="N27" s="571">
        <f t="shared" si="2"/>
        <v>114.79469982339999</v>
      </c>
      <c r="O27" s="572" t="str">
        <f t="shared" si="3"/>
        <v>EPA</v>
      </c>
    </row>
    <row r="28" spans="2:15">
      <c r="B28" s="928"/>
      <c r="C28" s="929"/>
      <c r="D28" s="929"/>
      <c r="E28" s="929"/>
      <c r="F28" s="929"/>
      <c r="G28" s="930"/>
    </row>
    <row r="29" spans="2:15" ht="14.25" customHeight="1">
      <c r="B29" s="928"/>
      <c r="C29" s="929"/>
      <c r="D29" s="929"/>
      <c r="E29" s="929"/>
      <c r="F29" s="929"/>
      <c r="G29" s="930"/>
    </row>
    <row r="30" spans="2:15" ht="16" thickBot="1">
      <c r="B30" s="928"/>
      <c r="C30" s="929"/>
      <c r="D30" s="929"/>
      <c r="E30" s="929"/>
      <c r="F30" s="929"/>
      <c r="G30" s="930"/>
      <c r="I30" s="319" t="s">
        <v>1599</v>
      </c>
    </row>
    <row r="31" spans="2:15" ht="46.5" thickBot="1">
      <c r="B31" s="931"/>
      <c r="C31" s="932"/>
      <c r="D31" s="932"/>
      <c r="E31" s="932"/>
      <c r="F31" s="932"/>
      <c r="G31" s="933"/>
      <c r="I31" s="546" t="s">
        <v>217</v>
      </c>
      <c r="J31" s="547" t="s">
        <v>346</v>
      </c>
      <c r="K31" s="547" t="s">
        <v>1603</v>
      </c>
      <c r="L31" s="548" t="s">
        <v>348</v>
      </c>
      <c r="M31" s="549" t="s">
        <v>1608</v>
      </c>
      <c r="N31" s="550" t="s">
        <v>1607</v>
      </c>
    </row>
    <row r="32" spans="2:15" ht="13" thickBot="1">
      <c r="B32" s="573"/>
      <c r="C32" s="573"/>
      <c r="D32" s="573"/>
      <c r="E32" s="573"/>
      <c r="F32" s="573"/>
      <c r="G32" s="573"/>
      <c r="I32" s="551" t="s">
        <v>221</v>
      </c>
      <c r="J32" s="40"/>
      <c r="K32" s="40"/>
      <c r="L32" s="40"/>
      <c r="M32" s="574"/>
      <c r="N32" s="554"/>
    </row>
    <row r="33" spans="2:14" ht="13">
      <c r="B33" s="573"/>
      <c r="C33" s="786" t="s">
        <v>3270</v>
      </c>
      <c r="D33" s="787"/>
      <c r="E33" s="787"/>
      <c r="F33" s="787"/>
      <c r="G33" s="788"/>
      <c r="I33" s="555" t="s">
        <v>400</v>
      </c>
      <c r="J33" s="575">
        <f>K175*0.95</f>
        <v>2.2096999926596605E-3</v>
      </c>
      <c r="K33" s="575">
        <f>0.011*$C$90</f>
        <v>2.4250848819999997E-2</v>
      </c>
      <c r="L33" s="575"/>
      <c r="M33" s="576">
        <f t="shared" ref="M33:M45" si="4">(IF(K33&gt;0,K33,(IF(J33&gt;0,J33,L33))))</f>
        <v>2.4250848819999997E-2</v>
      </c>
      <c r="N33" s="558" t="str">
        <f t="shared" ref="N33:N45" si="5">IF(M33=J33,"IPCC",(IF(M33=K33,"EPA",(IF(M33=L33,"Average")))))</f>
        <v>EPA</v>
      </c>
    </row>
    <row r="34" spans="2:14">
      <c r="C34" s="789"/>
      <c r="D34" s="775" t="s">
        <v>3271</v>
      </c>
      <c r="E34" s="778">
        <v>745.9</v>
      </c>
      <c r="F34" s="779" t="s">
        <v>3265</v>
      </c>
      <c r="G34" s="146"/>
      <c r="I34" s="555" t="s">
        <v>401</v>
      </c>
      <c r="J34" s="575">
        <f>K176*0.95</f>
        <v>2.2096999926596605E-3</v>
      </c>
      <c r="K34" s="575">
        <f>0.011*$C$90</f>
        <v>2.4250848819999997E-2</v>
      </c>
      <c r="L34" s="575"/>
      <c r="M34" s="576">
        <f t="shared" si="4"/>
        <v>2.4250848819999997E-2</v>
      </c>
      <c r="N34" s="558" t="str">
        <f t="shared" si="5"/>
        <v>EPA</v>
      </c>
    </row>
    <row r="35" spans="2:14">
      <c r="C35" s="790" t="s">
        <v>3272</v>
      </c>
      <c r="D35" s="145"/>
      <c r="E35" s="145"/>
      <c r="F35" s="145"/>
      <c r="G35" s="146"/>
      <c r="I35" s="555" t="s">
        <v>389</v>
      </c>
      <c r="J35" s="575">
        <f>K177*0.95</f>
        <v>6.6290999779789802E-3</v>
      </c>
      <c r="K35" s="575">
        <f>0.003*$C$90</f>
        <v>6.6138678599999999E-3</v>
      </c>
      <c r="L35" s="575"/>
      <c r="M35" s="576">
        <f t="shared" si="4"/>
        <v>6.6138678599999999E-3</v>
      </c>
      <c r="N35" s="558" t="str">
        <f t="shared" si="5"/>
        <v>EPA</v>
      </c>
    </row>
    <row r="36" spans="2:14" ht="13" thickBot="1">
      <c r="C36" s="791" t="s">
        <v>3269</v>
      </c>
      <c r="D36" s="792" t="s">
        <v>3268</v>
      </c>
      <c r="E36" s="567"/>
      <c r="F36" s="567"/>
      <c r="G36" s="568"/>
      <c r="I36" s="555" t="s">
        <v>388</v>
      </c>
      <c r="J36" s="575">
        <f>K178*0.9</f>
        <v>2.0933999930459941E-3</v>
      </c>
      <c r="K36" s="575">
        <f>0.001*$C$90</f>
        <v>2.20462262E-3</v>
      </c>
      <c r="L36" s="575"/>
      <c r="M36" s="576">
        <f t="shared" si="4"/>
        <v>2.20462262E-3</v>
      </c>
      <c r="N36" s="558" t="str">
        <f t="shared" si="5"/>
        <v>EPA</v>
      </c>
    </row>
    <row r="37" spans="2:14">
      <c r="I37" s="555" t="s">
        <v>402</v>
      </c>
      <c r="J37" s="575">
        <f>K180*0.95</f>
        <v>6.6290999779789792E-2</v>
      </c>
      <c r="K37" s="575"/>
      <c r="L37" s="575"/>
      <c r="M37" s="576">
        <f t="shared" si="4"/>
        <v>6.6290999779789792E-2</v>
      </c>
      <c r="N37" s="558" t="str">
        <f t="shared" si="5"/>
        <v>IPCC</v>
      </c>
    </row>
    <row r="38" spans="2:14">
      <c r="B38" s="936" t="s">
        <v>3274</v>
      </c>
      <c r="C38" s="937"/>
      <c r="D38" s="937"/>
      <c r="E38" s="937"/>
      <c r="F38" s="937"/>
      <c r="G38" s="938"/>
      <c r="I38" s="555" t="s">
        <v>403</v>
      </c>
      <c r="J38" s="575"/>
      <c r="K38" s="575"/>
      <c r="L38" s="575">
        <f>AVERAGE(M33:M37,M39:M45,M48:M51,M53:M55)</f>
        <v>2.4473862989538703E-2</v>
      </c>
      <c r="M38" s="576">
        <f t="shared" si="4"/>
        <v>2.4473862989538703E-2</v>
      </c>
      <c r="N38" s="558" t="str">
        <f t="shared" si="5"/>
        <v>Average</v>
      </c>
    </row>
    <row r="39" spans="2:14">
      <c r="B39" s="939"/>
      <c r="C39" s="940"/>
      <c r="D39" s="940"/>
      <c r="E39" s="940"/>
      <c r="F39" s="940"/>
      <c r="G39" s="941"/>
      <c r="I39" s="555" t="s">
        <v>398</v>
      </c>
      <c r="J39" s="575">
        <f t="shared" ref="J39:J45" si="6">K182*0.95</f>
        <v>6.6290999779789792E-2</v>
      </c>
      <c r="K39" s="575">
        <f>0.032*$C$90</f>
        <v>7.0547923839999999E-2</v>
      </c>
      <c r="L39" s="575"/>
      <c r="M39" s="576">
        <f t="shared" si="4"/>
        <v>7.0547923839999999E-2</v>
      </c>
      <c r="N39" s="558" t="str">
        <f t="shared" si="5"/>
        <v>EPA</v>
      </c>
    </row>
    <row r="40" spans="2:14">
      <c r="B40" s="939"/>
      <c r="C40" s="940"/>
      <c r="D40" s="940"/>
      <c r="E40" s="940"/>
      <c r="F40" s="940"/>
      <c r="G40" s="941"/>
      <c r="I40" s="555" t="s">
        <v>391</v>
      </c>
      <c r="J40" s="575">
        <f t="shared" si="6"/>
        <v>6.6290999779789802E-3</v>
      </c>
      <c r="K40" s="575">
        <f>0.003*$C$90</f>
        <v>6.6138678599999999E-3</v>
      </c>
      <c r="L40" s="575"/>
      <c r="M40" s="576">
        <f t="shared" si="4"/>
        <v>6.6138678599999999E-3</v>
      </c>
      <c r="N40" s="558" t="str">
        <f t="shared" si="5"/>
        <v>EPA</v>
      </c>
    </row>
    <row r="41" spans="2:14">
      <c r="B41" s="942"/>
      <c r="C41" s="943"/>
      <c r="D41" s="943"/>
      <c r="E41" s="943"/>
      <c r="F41" s="943"/>
      <c r="G41" s="944"/>
      <c r="I41" s="555" t="s">
        <v>390</v>
      </c>
      <c r="J41" s="575">
        <f t="shared" si="6"/>
        <v>6.6290999779789802E-3</v>
      </c>
      <c r="K41" s="575">
        <f>0.003*$C$90</f>
        <v>6.6138678599999999E-3</v>
      </c>
      <c r="L41" s="575"/>
      <c r="M41" s="576">
        <f t="shared" si="4"/>
        <v>6.6138678599999999E-3</v>
      </c>
      <c r="N41" s="558" t="str">
        <f t="shared" si="5"/>
        <v>EPA</v>
      </c>
    </row>
    <row r="42" spans="2:14">
      <c r="I42" s="555" t="s">
        <v>392</v>
      </c>
      <c r="J42" s="575">
        <f t="shared" si="6"/>
        <v>6.6290999779789802E-3</v>
      </c>
      <c r="K42" s="575">
        <f>0.003*$C$90</f>
        <v>6.6138678599999999E-3</v>
      </c>
      <c r="L42" s="575"/>
      <c r="M42" s="576">
        <f t="shared" si="4"/>
        <v>6.6138678599999999E-3</v>
      </c>
      <c r="N42" s="558" t="str">
        <f t="shared" si="5"/>
        <v>EPA</v>
      </c>
    </row>
    <row r="43" spans="2:14">
      <c r="I43" s="555" t="s">
        <v>393</v>
      </c>
      <c r="J43" s="575">
        <f t="shared" si="6"/>
        <v>6.6290999779789802E-3</v>
      </c>
      <c r="K43" s="575">
        <f>0.003*$C$90</f>
        <v>6.6138678599999999E-3</v>
      </c>
      <c r="L43" s="575"/>
      <c r="M43" s="576">
        <f t="shared" si="4"/>
        <v>6.6138678599999999E-3</v>
      </c>
      <c r="N43" s="558" t="str">
        <f t="shared" si="5"/>
        <v>EPA</v>
      </c>
    </row>
    <row r="44" spans="2:14">
      <c r="I44" s="555" t="s">
        <v>394</v>
      </c>
      <c r="J44" s="575">
        <f t="shared" si="6"/>
        <v>6.6290999779789792E-2</v>
      </c>
      <c r="K44" s="575"/>
      <c r="L44" s="575"/>
      <c r="M44" s="576">
        <f t="shared" si="4"/>
        <v>6.6290999779789792E-2</v>
      </c>
      <c r="N44" s="558" t="str">
        <f t="shared" si="5"/>
        <v>IPCC</v>
      </c>
    </row>
    <row r="45" spans="2:14">
      <c r="I45" s="555" t="s">
        <v>448</v>
      </c>
      <c r="J45" s="575">
        <f t="shared" si="6"/>
        <v>2.2096999926596605E-3</v>
      </c>
      <c r="K45" s="575">
        <f>0.001*$C$90</f>
        <v>2.20462262E-3</v>
      </c>
      <c r="L45" s="575"/>
      <c r="M45" s="576">
        <f t="shared" si="4"/>
        <v>2.20462262E-3</v>
      </c>
      <c r="N45" s="558" t="str">
        <f t="shared" si="5"/>
        <v>EPA</v>
      </c>
    </row>
    <row r="46" spans="2:14">
      <c r="I46" s="555"/>
      <c r="J46" s="575"/>
      <c r="K46" s="575"/>
      <c r="L46" s="575"/>
      <c r="M46" s="576"/>
      <c r="N46" s="558"/>
    </row>
    <row r="47" spans="2:14">
      <c r="I47" s="551" t="s">
        <v>227</v>
      </c>
      <c r="J47" s="575"/>
      <c r="K47" s="575"/>
      <c r="L47" s="575"/>
      <c r="M47" s="576"/>
      <c r="N47" s="558"/>
    </row>
    <row r="48" spans="2:14">
      <c r="I48" s="565" t="s">
        <v>396</v>
      </c>
      <c r="J48" s="575">
        <f>K191*0.9</f>
        <v>2.0933999930459941E-3</v>
      </c>
      <c r="K48" s="575">
        <f>0.0032*$C$90</f>
        <v>7.054792384E-3</v>
      </c>
      <c r="L48" s="575"/>
      <c r="M48" s="576">
        <f t="shared" ref="M48:M55" si="7">(IF(K48&gt;0,K48,(IF(J48&gt;0,J48,L48))))</f>
        <v>7.054792384E-3</v>
      </c>
      <c r="N48" s="558" t="str">
        <f t="shared" ref="N48:N55" si="8">IF(M48=J48,"IPCC",(IF(M48=K48,"EPA",(IF(M48=L48,"Average")))))</f>
        <v>EPA</v>
      </c>
    </row>
    <row r="49" spans="7:14">
      <c r="I49" s="565" t="s">
        <v>399</v>
      </c>
      <c r="J49" s="575">
        <f>K192*0.9</f>
        <v>6.280199979137982E-2</v>
      </c>
      <c r="K49" s="575"/>
      <c r="L49" s="575"/>
      <c r="M49" s="576">
        <f t="shared" si="7"/>
        <v>6.280199979137982E-2</v>
      </c>
      <c r="N49" s="558" t="str">
        <f t="shared" si="8"/>
        <v>IPCC</v>
      </c>
    </row>
    <row r="50" spans="7:14">
      <c r="I50" s="565" t="s">
        <v>395</v>
      </c>
      <c r="J50" s="575">
        <f>K193*0.9</f>
        <v>6.2801999791379818E-3</v>
      </c>
      <c r="K50" s="575"/>
      <c r="L50" s="575"/>
      <c r="M50" s="576">
        <f t="shared" si="7"/>
        <v>6.2801999791379818E-3</v>
      </c>
      <c r="N50" s="558" t="str">
        <f t="shared" si="8"/>
        <v>IPCC</v>
      </c>
    </row>
    <row r="51" spans="7:14">
      <c r="G51" s="154"/>
      <c r="I51" s="565" t="s">
        <v>404</v>
      </c>
      <c r="J51" s="575">
        <f>K194*0.9</f>
        <v>6.280199979137982E-2</v>
      </c>
      <c r="K51" s="575">
        <f>0.0072*$C$90</f>
        <v>1.5873282863999999E-2</v>
      </c>
      <c r="L51" s="575"/>
      <c r="M51" s="576">
        <f t="shared" si="7"/>
        <v>1.5873282863999999E-2</v>
      </c>
      <c r="N51" s="558" t="str">
        <f t="shared" si="8"/>
        <v>EPA</v>
      </c>
    </row>
    <row r="52" spans="7:14">
      <c r="G52" s="154"/>
      <c r="I52" s="565" t="s">
        <v>397</v>
      </c>
      <c r="J52" s="575"/>
      <c r="K52" s="575"/>
      <c r="L52" s="575">
        <f>AVERAGE(M33:M37,M39:M45,M48:M51,M53:M55)</f>
        <v>2.4473862989538703E-2</v>
      </c>
      <c r="M52" s="576">
        <f t="shared" si="7"/>
        <v>2.4473862989538703E-2</v>
      </c>
      <c r="N52" s="558" t="str">
        <f t="shared" si="8"/>
        <v>Average</v>
      </c>
    </row>
    <row r="53" spans="7:14">
      <c r="I53" s="565" t="s">
        <v>450</v>
      </c>
      <c r="J53" s="575">
        <f>K195*0.9</f>
        <v>6.280199979137982E-2</v>
      </c>
      <c r="K53" s="575">
        <f>0.032*$C$90</f>
        <v>7.0547923839999999E-2</v>
      </c>
      <c r="L53" s="575"/>
      <c r="M53" s="576">
        <f t="shared" si="7"/>
        <v>7.0547923839999999E-2</v>
      </c>
      <c r="N53" s="558" t="str">
        <f t="shared" si="8"/>
        <v>EPA</v>
      </c>
    </row>
    <row r="54" spans="7:14">
      <c r="I54" s="565" t="s">
        <v>2657</v>
      </c>
      <c r="J54" s="575">
        <f>K193*0.9</f>
        <v>6.2801999791379818E-3</v>
      </c>
      <c r="K54" s="575"/>
      <c r="L54" s="575"/>
      <c r="M54" s="576">
        <f t="shared" si="7"/>
        <v>6.2801999791379818E-3</v>
      </c>
      <c r="N54" s="558" t="str">
        <f t="shared" si="8"/>
        <v>IPCC</v>
      </c>
    </row>
    <row r="55" spans="7:14" ht="13" thickBot="1">
      <c r="I55" s="569" t="s">
        <v>449</v>
      </c>
      <c r="J55" s="577">
        <f>K196*0.9</f>
        <v>2.0933999930459941E-3</v>
      </c>
      <c r="K55" s="577">
        <f>0.0032*$C$90</f>
        <v>7.054792384E-3</v>
      </c>
      <c r="L55" s="577"/>
      <c r="M55" s="578">
        <f t="shared" si="7"/>
        <v>7.054792384E-3</v>
      </c>
      <c r="N55" s="572" t="str">
        <f t="shared" si="8"/>
        <v>EPA</v>
      </c>
    </row>
    <row r="56" spans="7:14">
      <c r="G56" s="33"/>
    </row>
    <row r="57" spans="7:14">
      <c r="G57" s="154"/>
    </row>
    <row r="58" spans="7:14" ht="16" thickBot="1">
      <c r="G58" s="154"/>
      <c r="I58" s="579" t="s">
        <v>1600</v>
      </c>
    </row>
    <row r="59" spans="7:14" ht="46.5" thickBot="1">
      <c r="G59" s="37"/>
      <c r="I59" s="546" t="s">
        <v>217</v>
      </c>
      <c r="J59" s="547" t="s">
        <v>347</v>
      </c>
      <c r="K59" s="547" t="s">
        <v>1605</v>
      </c>
      <c r="L59" s="548" t="s">
        <v>349</v>
      </c>
      <c r="M59" s="549" t="s">
        <v>1608</v>
      </c>
      <c r="N59" s="550" t="s">
        <v>1607</v>
      </c>
    </row>
    <row r="60" spans="7:14">
      <c r="G60" s="154"/>
      <c r="I60" s="551" t="s">
        <v>221</v>
      </c>
      <c r="J60" s="40"/>
      <c r="K60" s="40"/>
      <c r="L60" s="40"/>
      <c r="M60" s="574"/>
      <c r="N60" s="554"/>
    </row>
    <row r="61" spans="7:14">
      <c r="G61" s="154"/>
      <c r="I61" s="555" t="s">
        <v>400</v>
      </c>
      <c r="J61" s="575">
        <f>K202*0.95</f>
        <v>3.3145499889894901E-3</v>
      </c>
      <c r="K61" s="575">
        <f>0.0016*$C$90</f>
        <v>3.527396192E-3</v>
      </c>
      <c r="L61" s="575"/>
      <c r="M61" s="576">
        <f t="shared" ref="M61:M73" si="9">(IF(K61&gt;0,K61,(IF(J61&gt;0,J61,L61))))</f>
        <v>3.527396192E-3</v>
      </c>
      <c r="N61" s="558" t="str">
        <f t="shared" ref="N61:N73" si="10">IF(M61=J61,"IPCC",(IF(M61=K61,"EPA",(IF(M61=L61,"Average")))))</f>
        <v>EPA</v>
      </c>
    </row>
    <row r="62" spans="7:14">
      <c r="G62" s="154"/>
      <c r="I62" s="555" t="s">
        <v>401</v>
      </c>
      <c r="J62" s="575">
        <f>K203*0.95</f>
        <v>3.3145499889894901E-3</v>
      </c>
      <c r="K62" s="575">
        <f>0.0016*$C$90</f>
        <v>3.527396192E-3</v>
      </c>
      <c r="L62" s="575"/>
      <c r="M62" s="576">
        <f t="shared" si="9"/>
        <v>3.527396192E-3</v>
      </c>
      <c r="N62" s="558" t="str">
        <f t="shared" si="10"/>
        <v>EPA</v>
      </c>
    </row>
    <row r="63" spans="7:14">
      <c r="I63" s="555" t="s">
        <v>389</v>
      </c>
      <c r="J63" s="575">
        <f>K204*0.95</f>
        <v>1.3258199955957961E-3</v>
      </c>
      <c r="K63" s="575">
        <f>0.0006*$C$90</f>
        <v>1.3227735719999998E-3</v>
      </c>
      <c r="L63" s="575"/>
      <c r="M63" s="576">
        <f t="shared" si="9"/>
        <v>1.3227735719999998E-3</v>
      </c>
      <c r="N63" s="558" t="str">
        <f t="shared" si="10"/>
        <v>EPA</v>
      </c>
    </row>
    <row r="64" spans="7:14">
      <c r="G64" s="196"/>
      <c r="I64" s="555" t="s">
        <v>388</v>
      </c>
      <c r="J64" s="575">
        <f>K205*0.9</f>
        <v>2.0933999930459942E-4</v>
      </c>
      <c r="K64" s="575">
        <f>0.0001*$C$90</f>
        <v>2.20462262E-4</v>
      </c>
      <c r="L64" s="575"/>
      <c r="M64" s="576">
        <f t="shared" si="9"/>
        <v>2.20462262E-4</v>
      </c>
      <c r="N64" s="558" t="str">
        <f t="shared" si="10"/>
        <v>EPA</v>
      </c>
    </row>
    <row r="65" spans="7:14">
      <c r="I65" s="555" t="s">
        <v>402</v>
      </c>
      <c r="J65" s="575">
        <f>K207*0.95</f>
        <v>8.838799970638642E-3</v>
      </c>
      <c r="K65" s="575"/>
      <c r="L65" s="575"/>
      <c r="M65" s="576">
        <f t="shared" si="9"/>
        <v>8.838799970638642E-3</v>
      </c>
      <c r="N65" s="558" t="str">
        <f t="shared" si="10"/>
        <v>IPCC</v>
      </c>
    </row>
    <row r="66" spans="7:14">
      <c r="I66" s="555" t="s">
        <v>403</v>
      </c>
      <c r="J66" s="575"/>
      <c r="K66" s="575"/>
      <c r="L66" s="575">
        <f>AVERAGE(M61:M65,M67:M73,M76:M79,M81:M83)</f>
        <v>4.0930358207813284E-3</v>
      </c>
      <c r="M66" s="576">
        <f t="shared" si="9"/>
        <v>4.0930358207813284E-3</v>
      </c>
      <c r="N66" s="558" t="str">
        <f t="shared" si="10"/>
        <v>Average</v>
      </c>
    </row>
    <row r="67" spans="7:14">
      <c r="G67" s="154"/>
      <c r="I67" s="555" t="s">
        <v>398</v>
      </c>
      <c r="J67" s="575">
        <f t="shared" ref="J67:J73" si="11">K209*0.95</f>
        <v>8.838799970638642E-3</v>
      </c>
      <c r="K67" s="575">
        <f>0.0042*$C$90</f>
        <v>9.2594150039999983E-3</v>
      </c>
      <c r="L67" s="575"/>
      <c r="M67" s="576">
        <f t="shared" si="9"/>
        <v>9.2594150039999983E-3</v>
      </c>
      <c r="N67" s="558" t="str">
        <f t="shared" si="10"/>
        <v>EPA</v>
      </c>
    </row>
    <row r="68" spans="7:14">
      <c r="I68" s="555" t="s">
        <v>391</v>
      </c>
      <c r="J68" s="575">
        <f t="shared" si="11"/>
        <v>1.3258199955957961E-3</v>
      </c>
      <c r="K68" s="575">
        <f>0.0006*$C$90</f>
        <v>1.3227735719999998E-3</v>
      </c>
      <c r="L68" s="575"/>
      <c r="M68" s="576">
        <f t="shared" si="9"/>
        <v>1.3227735719999998E-3</v>
      </c>
      <c r="N68" s="558" t="str">
        <f t="shared" si="10"/>
        <v>EPA</v>
      </c>
    </row>
    <row r="69" spans="7:14">
      <c r="I69" s="555" t="s">
        <v>390</v>
      </c>
      <c r="J69" s="575">
        <f t="shared" si="11"/>
        <v>1.3258199955957961E-3</v>
      </c>
      <c r="K69" s="575">
        <f>0.0006*$C$90</f>
        <v>1.3227735719999998E-3</v>
      </c>
      <c r="L69" s="575"/>
      <c r="M69" s="576">
        <f t="shared" si="9"/>
        <v>1.3227735719999998E-3</v>
      </c>
      <c r="N69" s="558" t="str">
        <f t="shared" si="10"/>
        <v>EPA</v>
      </c>
    </row>
    <row r="70" spans="7:14">
      <c r="I70" s="555" t="s">
        <v>392</v>
      </c>
      <c r="J70" s="575">
        <f t="shared" si="11"/>
        <v>1.3258199955957961E-3</v>
      </c>
      <c r="K70" s="575">
        <f>0.0006*$C$90</f>
        <v>1.3227735719999998E-3</v>
      </c>
      <c r="L70" s="575"/>
      <c r="M70" s="576">
        <f t="shared" si="9"/>
        <v>1.3227735719999998E-3</v>
      </c>
      <c r="N70" s="558" t="str">
        <f t="shared" si="10"/>
        <v>EPA</v>
      </c>
    </row>
    <row r="71" spans="7:14">
      <c r="I71" s="555" t="s">
        <v>393</v>
      </c>
      <c r="J71" s="575">
        <f t="shared" si="11"/>
        <v>1.3258199955957961E-3</v>
      </c>
      <c r="K71" s="575">
        <f>0.0006*$C$90</f>
        <v>1.3227735719999998E-3</v>
      </c>
      <c r="L71" s="575"/>
      <c r="M71" s="576">
        <f t="shared" si="9"/>
        <v>1.3227735719999998E-3</v>
      </c>
      <c r="N71" s="558" t="str">
        <f t="shared" si="10"/>
        <v>EPA</v>
      </c>
    </row>
    <row r="72" spans="7:14">
      <c r="I72" s="555" t="s">
        <v>394</v>
      </c>
      <c r="J72" s="575">
        <f t="shared" si="11"/>
        <v>8.838799970638642E-3</v>
      </c>
      <c r="K72" s="575"/>
      <c r="L72" s="575"/>
      <c r="M72" s="576">
        <f t="shared" si="9"/>
        <v>8.838799970638642E-3</v>
      </c>
      <c r="N72" s="558" t="str">
        <f t="shared" si="10"/>
        <v>IPCC</v>
      </c>
    </row>
    <row r="73" spans="7:14">
      <c r="I73" s="555" t="s">
        <v>448</v>
      </c>
      <c r="J73" s="575">
        <f t="shared" si="11"/>
        <v>2.2096999926596604E-4</v>
      </c>
      <c r="K73" s="575">
        <f>0.0001*$C$90</f>
        <v>2.20462262E-4</v>
      </c>
      <c r="L73" s="575"/>
      <c r="M73" s="576">
        <f t="shared" si="9"/>
        <v>2.20462262E-4</v>
      </c>
      <c r="N73" s="558" t="str">
        <f t="shared" si="10"/>
        <v>EPA</v>
      </c>
    </row>
    <row r="74" spans="7:14">
      <c r="I74" s="555"/>
      <c r="J74" s="575"/>
      <c r="K74" s="575"/>
      <c r="L74" s="575"/>
      <c r="M74" s="576"/>
      <c r="N74" s="558"/>
    </row>
    <row r="75" spans="7:14">
      <c r="I75" s="551" t="s">
        <v>227</v>
      </c>
      <c r="J75" s="575"/>
      <c r="K75" s="575"/>
      <c r="L75" s="575"/>
      <c r="M75" s="576"/>
      <c r="N75" s="558"/>
    </row>
    <row r="76" spans="7:14">
      <c r="I76" s="565" t="s">
        <v>396</v>
      </c>
      <c r="J76" s="575">
        <f>K218*0.9</f>
        <v>2.0933999930459942E-4</v>
      </c>
      <c r="K76" s="575">
        <f>0.00063*$C$90</f>
        <v>1.3889122505999999E-3</v>
      </c>
      <c r="L76" s="575"/>
      <c r="M76" s="576">
        <f t="shared" ref="M76:M83" si="12">(IF(K76&gt;0,K76,(IF(J76&gt;0,J76,L76))))</f>
        <v>1.3889122505999999E-3</v>
      </c>
      <c r="N76" s="558" t="str">
        <f t="shared" ref="N76:N83" si="13">IF(M76=J76,"IPCC",(IF(M76=K76,"EPA",(IF(M76=L76,"Average")))))</f>
        <v>EPA</v>
      </c>
    </row>
    <row r="77" spans="7:14">
      <c r="I77" s="565" t="s">
        <v>399</v>
      </c>
      <c r="J77" s="575">
        <f>K219*0.9</f>
        <v>8.3735999721839764E-3</v>
      </c>
      <c r="K77" s="575"/>
      <c r="L77" s="575"/>
      <c r="M77" s="576">
        <f t="shared" si="12"/>
        <v>8.3735999721839764E-3</v>
      </c>
      <c r="N77" s="558" t="str">
        <f t="shared" si="13"/>
        <v>IPCC</v>
      </c>
    </row>
    <row r="78" spans="7:14">
      <c r="I78" s="565" t="s">
        <v>395</v>
      </c>
      <c r="J78" s="575">
        <f>K220*0.9</f>
        <v>4.1867999860919882E-3</v>
      </c>
      <c r="K78" s="575"/>
      <c r="L78" s="575"/>
      <c r="M78" s="576">
        <f t="shared" si="12"/>
        <v>4.1867999860919882E-3</v>
      </c>
      <c r="N78" s="558" t="str">
        <f t="shared" si="13"/>
        <v>IPCC</v>
      </c>
    </row>
    <row r="79" spans="7:14">
      <c r="I79" s="565" t="s">
        <v>404</v>
      </c>
      <c r="J79" s="575">
        <f>K221*0.9</f>
        <v>8.3735999721839764E-3</v>
      </c>
      <c r="K79" s="575">
        <f>0.0036*$C$90</f>
        <v>7.9366414319999995E-3</v>
      </c>
      <c r="L79" s="575"/>
      <c r="M79" s="576">
        <f t="shared" si="12"/>
        <v>7.9366414319999995E-3</v>
      </c>
      <c r="N79" s="558" t="str">
        <f t="shared" si="13"/>
        <v>EPA</v>
      </c>
    </row>
    <row r="80" spans="7:14">
      <c r="I80" s="565" t="s">
        <v>397</v>
      </c>
      <c r="J80" s="575"/>
      <c r="K80" s="575"/>
      <c r="L80" s="575">
        <f>AVERAGE(M61:M65,M67:M73,M76:M79,M81:M83)</f>
        <v>4.0930358207813284E-3</v>
      </c>
      <c r="M80" s="576">
        <f t="shared" si="12"/>
        <v>4.0930358207813284E-3</v>
      </c>
      <c r="N80" s="558" t="str">
        <f t="shared" si="13"/>
        <v>Average</v>
      </c>
    </row>
    <row r="81" spans="1:24">
      <c r="I81" s="565" t="s">
        <v>450</v>
      </c>
      <c r="J81" s="575">
        <f>K222*0.9</f>
        <v>8.3735999721839764E-3</v>
      </c>
      <c r="K81" s="575">
        <f>0.0042*$C$90</f>
        <v>9.2594150039999983E-3</v>
      </c>
      <c r="L81" s="575"/>
      <c r="M81" s="576">
        <f t="shared" si="12"/>
        <v>9.2594150039999983E-3</v>
      </c>
      <c r="N81" s="558" t="str">
        <f t="shared" si="13"/>
        <v>EPA</v>
      </c>
    </row>
    <row r="82" spans="1:24">
      <c r="I82" s="565" t="s">
        <v>2657</v>
      </c>
      <c r="J82" s="575">
        <f>K220*0.9</f>
        <v>4.1867999860919882E-3</v>
      </c>
      <c r="K82" s="575"/>
      <c r="L82" s="575"/>
      <c r="M82" s="576">
        <f t="shared" si="12"/>
        <v>4.1867999860919882E-3</v>
      </c>
      <c r="N82" s="558" t="str">
        <f t="shared" si="13"/>
        <v>IPCC</v>
      </c>
    </row>
    <row r="83" spans="1:24" ht="13" thickBot="1">
      <c r="I83" s="569" t="s">
        <v>449</v>
      </c>
      <c r="J83" s="577">
        <f>K223*0.9</f>
        <v>2.0933999930459942E-4</v>
      </c>
      <c r="K83" s="577">
        <f>0.00063*$C$90</f>
        <v>1.3889122505999999E-3</v>
      </c>
      <c r="L83" s="577"/>
      <c r="M83" s="578">
        <f t="shared" si="12"/>
        <v>1.3889122505999999E-3</v>
      </c>
      <c r="N83" s="572" t="str">
        <f t="shared" si="13"/>
        <v>EPA</v>
      </c>
    </row>
    <row r="85" spans="1:24">
      <c r="I85" s="580"/>
      <c r="J85" s="120"/>
    </row>
    <row r="86" spans="1:24">
      <c r="A86" s="581"/>
      <c r="B86" s="581"/>
      <c r="C86" s="581"/>
      <c r="D86" s="581"/>
      <c r="E86" s="581"/>
      <c r="F86" s="581"/>
      <c r="G86" s="581"/>
      <c r="H86" s="581"/>
      <c r="I86" s="582"/>
      <c r="J86" s="582"/>
      <c r="K86" s="581"/>
      <c r="L86" s="581"/>
      <c r="M86" s="581"/>
      <c r="N86" s="581"/>
      <c r="O86" s="581"/>
      <c r="P86" s="581"/>
      <c r="Q86" s="581"/>
      <c r="R86" s="581"/>
      <c r="S86" s="581"/>
      <c r="T86" s="581"/>
      <c r="U86" s="581"/>
      <c r="V86" s="581"/>
      <c r="W86" s="581"/>
      <c r="X86" s="581"/>
    </row>
    <row r="87" spans="1:24">
      <c r="I87" s="580"/>
      <c r="J87" s="120"/>
    </row>
    <row r="88" spans="1:24" ht="14.5" thickBot="1">
      <c r="B88" s="583" t="s">
        <v>1606</v>
      </c>
      <c r="N88" s="154" t="s">
        <v>3257</v>
      </c>
    </row>
    <row r="89" spans="1:24" ht="14">
      <c r="B89" s="765" t="s">
        <v>1596</v>
      </c>
      <c r="C89" s="766">
        <v>1055.05585</v>
      </c>
      <c r="D89" s="767" t="s">
        <v>1597</v>
      </c>
      <c r="E89" s="154" t="s">
        <v>3254</v>
      </c>
      <c r="N89" s="763" t="s">
        <v>3255</v>
      </c>
    </row>
    <row r="90" spans="1:24" ht="14.5" thickBot="1">
      <c r="B90" s="768" t="s">
        <v>1594</v>
      </c>
      <c r="C90" s="769">
        <v>2.2046226199999999</v>
      </c>
      <c r="D90" s="770" t="s">
        <v>1593</v>
      </c>
      <c r="E90" s="764" t="s">
        <v>3253</v>
      </c>
    </row>
    <row r="91" spans="1:24">
      <c r="D91" s="28" t="s">
        <v>1486</v>
      </c>
      <c r="E91" s="584" t="s">
        <v>1622</v>
      </c>
      <c r="N91" s="28" t="s">
        <v>409</v>
      </c>
    </row>
    <row r="92" spans="1:24" ht="14">
      <c r="B92" s="583" t="s">
        <v>1601</v>
      </c>
      <c r="D92" s="33" t="s">
        <v>1487</v>
      </c>
      <c r="E92" s="584" t="s">
        <v>1623</v>
      </c>
      <c r="N92" s="584" t="s">
        <v>408</v>
      </c>
    </row>
    <row r="93" spans="1:24" ht="14">
      <c r="B93" s="585" t="s">
        <v>1486</v>
      </c>
      <c r="C93" s="586"/>
      <c r="D93" s="586"/>
      <c r="E93" s="587"/>
      <c r="G93" s="588" t="s">
        <v>1487</v>
      </c>
      <c r="H93" s="589"/>
      <c r="I93" s="590"/>
    </row>
    <row r="94" spans="1:24" ht="39">
      <c r="B94" s="585" t="s">
        <v>1488</v>
      </c>
      <c r="C94" s="591" t="s">
        <v>1489</v>
      </c>
      <c r="D94" s="591" t="s">
        <v>1490</v>
      </c>
      <c r="E94" s="592"/>
      <c r="F94" s="593"/>
      <c r="G94" s="594" t="s">
        <v>1488</v>
      </c>
      <c r="H94" s="594" t="s">
        <v>1491</v>
      </c>
      <c r="I94" s="594" t="s">
        <v>1492</v>
      </c>
    </row>
    <row r="95" spans="1:24" ht="14">
      <c r="B95" s="595" t="s">
        <v>1493</v>
      </c>
      <c r="C95" s="595" t="s">
        <v>1494</v>
      </c>
      <c r="D95" s="595" t="s">
        <v>1495</v>
      </c>
      <c r="E95" s="596"/>
      <c r="G95" s="597" t="s">
        <v>1496</v>
      </c>
      <c r="H95" s="597" t="s">
        <v>1497</v>
      </c>
      <c r="I95" s="597" t="s">
        <v>1498</v>
      </c>
    </row>
    <row r="96" spans="1:24" ht="14">
      <c r="B96" s="586" t="s">
        <v>1499</v>
      </c>
      <c r="C96" s="586">
        <v>25.09</v>
      </c>
      <c r="D96" s="586">
        <v>103.69</v>
      </c>
      <c r="E96" s="596"/>
      <c r="G96" s="597" t="s">
        <v>1500</v>
      </c>
      <c r="H96" s="597" t="s">
        <v>1501</v>
      </c>
      <c r="I96" s="597" t="s">
        <v>1502</v>
      </c>
    </row>
    <row r="97" spans="2:24" ht="14">
      <c r="B97" s="586" t="s">
        <v>1503</v>
      </c>
      <c r="C97" s="586">
        <v>24.93</v>
      </c>
      <c r="D97" s="586">
        <v>93.28</v>
      </c>
      <c r="E97" s="596"/>
      <c r="G97" s="597" t="s">
        <v>1504</v>
      </c>
      <c r="H97" s="597" t="s">
        <v>1505</v>
      </c>
      <c r="I97" s="597" t="s">
        <v>1506</v>
      </c>
    </row>
    <row r="98" spans="2:24" ht="15" customHeight="1">
      <c r="B98" s="586" t="s">
        <v>1507</v>
      </c>
      <c r="C98" s="586">
        <v>17.25</v>
      </c>
      <c r="D98" s="586">
        <v>97.17</v>
      </c>
      <c r="E98" s="596"/>
      <c r="G98" s="597" t="s">
        <v>1508</v>
      </c>
      <c r="H98" s="597" t="s">
        <v>1505</v>
      </c>
      <c r="I98" s="597" t="s">
        <v>1506</v>
      </c>
    </row>
    <row r="99" spans="2:24" ht="14">
      <c r="B99" s="586" t="s">
        <v>1509</v>
      </c>
      <c r="C99" s="586">
        <v>14.21</v>
      </c>
      <c r="D99" s="586">
        <v>97.72</v>
      </c>
      <c r="E99" s="596"/>
      <c r="G99" s="597" t="s">
        <v>1510</v>
      </c>
      <c r="H99" s="597" t="s">
        <v>1511</v>
      </c>
      <c r="I99" s="597" t="s">
        <v>1512</v>
      </c>
    </row>
    <row r="100" spans="2:24" ht="15" customHeight="1">
      <c r="B100" s="586" t="s">
        <v>1513</v>
      </c>
      <c r="C100" s="586">
        <v>24.8</v>
      </c>
      <c r="D100" s="586">
        <v>113.67</v>
      </c>
      <c r="E100" s="596"/>
      <c r="G100" s="597" t="s">
        <v>1514</v>
      </c>
      <c r="H100" s="597" t="s">
        <v>1511</v>
      </c>
      <c r="I100" s="597" t="s">
        <v>1512</v>
      </c>
    </row>
    <row r="101" spans="2:24" ht="14">
      <c r="B101" s="586" t="s">
        <v>1515</v>
      </c>
      <c r="C101" s="586">
        <v>21.39</v>
      </c>
      <c r="D101" s="586">
        <v>94.27</v>
      </c>
      <c r="E101" s="596"/>
      <c r="G101" s="597" t="s">
        <v>1516</v>
      </c>
      <c r="H101" s="597" t="s">
        <v>1517</v>
      </c>
      <c r="I101" s="597" t="s">
        <v>1502</v>
      </c>
    </row>
    <row r="102" spans="2:24" ht="14">
      <c r="B102" s="586" t="s">
        <v>1518</v>
      </c>
      <c r="C102" s="586">
        <v>26.28</v>
      </c>
      <c r="D102" s="586">
        <v>93.9</v>
      </c>
      <c r="E102" s="596"/>
      <c r="G102" s="597" t="s">
        <v>1519</v>
      </c>
      <c r="H102" s="597" t="s">
        <v>1520</v>
      </c>
      <c r="I102" s="597" t="s">
        <v>1502</v>
      </c>
    </row>
    <row r="103" spans="2:24" ht="14">
      <c r="B103" s="586" t="s">
        <v>1521</v>
      </c>
      <c r="C103" s="586">
        <v>22.35</v>
      </c>
      <c r="D103" s="586">
        <v>94.67</v>
      </c>
      <c r="E103" s="596"/>
      <c r="G103" s="597" t="s">
        <v>1522</v>
      </c>
      <c r="H103" s="597" t="s">
        <v>1511</v>
      </c>
      <c r="I103" s="597" t="s">
        <v>1512</v>
      </c>
    </row>
    <row r="104" spans="2:24" ht="14">
      <c r="B104" s="586" t="s">
        <v>1523</v>
      </c>
      <c r="C104" s="586">
        <v>19.73</v>
      </c>
      <c r="D104" s="586">
        <v>95.52</v>
      </c>
      <c r="E104" s="596"/>
      <c r="G104" s="597" t="s">
        <v>1524</v>
      </c>
      <c r="H104" s="597" t="s">
        <v>1525</v>
      </c>
      <c r="I104" s="597" t="s">
        <v>1526</v>
      </c>
    </row>
    <row r="105" spans="2:24" ht="14">
      <c r="B105" s="595" t="s">
        <v>1341</v>
      </c>
      <c r="C105" s="595" t="s">
        <v>1527</v>
      </c>
      <c r="D105" s="595" t="s">
        <v>1495</v>
      </c>
      <c r="E105" s="596"/>
      <c r="G105" s="597" t="s">
        <v>1528</v>
      </c>
      <c r="H105" s="597" t="s">
        <v>1529</v>
      </c>
      <c r="I105" s="597" t="s">
        <v>1530</v>
      </c>
    </row>
    <row r="106" spans="2:24" ht="14">
      <c r="B106" s="586" t="s">
        <v>1531</v>
      </c>
      <c r="C106" s="586" t="s">
        <v>1532</v>
      </c>
      <c r="D106" s="586">
        <v>53.06</v>
      </c>
      <c r="E106" s="596"/>
      <c r="G106" s="597" t="s">
        <v>1533</v>
      </c>
      <c r="H106" s="597" t="s">
        <v>1534</v>
      </c>
      <c r="I106" s="597" t="s">
        <v>1535</v>
      </c>
    </row>
    <row r="107" spans="2:24" ht="14">
      <c r="B107" s="595" t="s">
        <v>1536</v>
      </c>
      <c r="C107" s="595" t="s">
        <v>1537</v>
      </c>
      <c r="D107" s="595" t="s">
        <v>1495</v>
      </c>
      <c r="E107" s="596"/>
      <c r="I107" s="598"/>
    </row>
    <row r="108" spans="2:24" ht="15" customHeight="1">
      <c r="B108" s="586" t="s">
        <v>1538</v>
      </c>
      <c r="C108" s="586">
        <v>0.13900000000000001</v>
      </c>
      <c r="D108" s="586">
        <v>73.25</v>
      </c>
      <c r="E108" s="596"/>
    </row>
    <row r="109" spans="2:24" ht="14">
      <c r="B109" s="586" t="s">
        <v>1539</v>
      </c>
      <c r="C109" s="586">
        <v>0.13800000000000001</v>
      </c>
      <c r="D109" s="586">
        <v>73.959999999999994</v>
      </c>
      <c r="E109" s="596"/>
      <c r="L109" s="32"/>
    </row>
    <row r="110" spans="2:24" ht="14">
      <c r="B110" s="586" t="s">
        <v>1540</v>
      </c>
      <c r="C110" s="586">
        <v>0.14599999999999999</v>
      </c>
      <c r="D110" s="586">
        <v>75.040000000000006</v>
      </c>
      <c r="E110" s="596"/>
      <c r="H110" s="181"/>
      <c r="I110" s="32"/>
      <c r="J110" s="32"/>
      <c r="K110" s="32"/>
    </row>
    <row r="111" spans="2:24" ht="14">
      <c r="B111" s="586" t="s">
        <v>1541</v>
      </c>
      <c r="C111" s="586">
        <v>0.14000000000000001</v>
      </c>
      <c r="D111" s="586">
        <v>72.930000000000007</v>
      </c>
      <c r="E111" s="596"/>
      <c r="H111" s="599" t="s">
        <v>1602</v>
      </c>
      <c r="I111" s="178"/>
      <c r="J111" s="178"/>
      <c r="K111" s="178"/>
      <c r="L111" s="178"/>
    </row>
    <row r="112" spans="2:24" ht="14">
      <c r="B112" s="586" t="s">
        <v>1542</v>
      </c>
      <c r="C112" s="586">
        <v>0.15</v>
      </c>
      <c r="D112" s="586">
        <v>75.099999999999994</v>
      </c>
      <c r="E112" s="596"/>
      <c r="H112" s="600" t="s">
        <v>2212</v>
      </c>
      <c r="I112" s="601" t="s">
        <v>1633</v>
      </c>
      <c r="J112" s="602"/>
      <c r="K112" s="602"/>
      <c r="L112" s="178"/>
      <c r="X112" s="270"/>
    </row>
    <row r="113" spans="2:12" ht="41">
      <c r="B113" s="586" t="s">
        <v>1543</v>
      </c>
      <c r="C113" s="586">
        <v>0.13800000000000001</v>
      </c>
      <c r="D113" s="586">
        <v>74</v>
      </c>
      <c r="E113" s="596"/>
      <c r="H113" s="603" t="s">
        <v>3256</v>
      </c>
      <c r="I113" s="178"/>
      <c r="J113" s="178"/>
      <c r="K113" s="602"/>
      <c r="L113" s="178"/>
    </row>
    <row r="114" spans="2:12" ht="15" customHeight="1">
      <c r="B114" s="586" t="s">
        <v>1544</v>
      </c>
      <c r="C114" s="586">
        <v>0.13500000000000001</v>
      </c>
      <c r="D114" s="586">
        <v>75.2</v>
      </c>
      <c r="E114" s="596"/>
      <c r="H114" s="934" t="s">
        <v>2213</v>
      </c>
      <c r="I114" s="934"/>
      <c r="J114" s="934"/>
      <c r="K114" s="934"/>
      <c r="L114" s="934"/>
    </row>
    <row r="115" spans="2:12" ht="39">
      <c r="B115" s="586" t="s">
        <v>1545</v>
      </c>
      <c r="C115" s="586">
        <v>9.1999999999999998E-2</v>
      </c>
      <c r="D115" s="586">
        <v>61.71</v>
      </c>
      <c r="E115" s="596"/>
      <c r="H115" s="604" t="s">
        <v>2214</v>
      </c>
      <c r="I115" s="604" t="s">
        <v>2215</v>
      </c>
      <c r="J115" s="605" t="s">
        <v>2216</v>
      </c>
      <c r="K115" s="606" t="s">
        <v>2217</v>
      </c>
      <c r="L115" s="607" t="s">
        <v>2218</v>
      </c>
    </row>
    <row r="116" spans="2:12" ht="14">
      <c r="B116" s="586" t="s">
        <v>1546</v>
      </c>
      <c r="C116" s="586">
        <v>9.0999999999999998E-2</v>
      </c>
      <c r="D116" s="586">
        <v>62.87</v>
      </c>
      <c r="E116" s="596"/>
      <c r="H116" s="205" t="s">
        <v>2219</v>
      </c>
      <c r="I116" s="608" t="s">
        <v>45</v>
      </c>
      <c r="J116" s="609">
        <v>93.3</v>
      </c>
      <c r="K116" s="610">
        <f t="shared" ref="K116:K127" si="14">J116*2.20462</f>
        <v>205.69104599999997</v>
      </c>
      <c r="L116" s="205" t="s">
        <v>1238</v>
      </c>
    </row>
    <row r="117" spans="2:12" ht="14">
      <c r="B117" s="586" t="s">
        <v>1547</v>
      </c>
      <c r="C117" s="586">
        <v>9.0999999999999998E-2</v>
      </c>
      <c r="D117" s="586">
        <v>67.77</v>
      </c>
      <c r="E117" s="596"/>
      <c r="H117" s="205" t="s">
        <v>2220</v>
      </c>
      <c r="I117" s="608" t="s">
        <v>48</v>
      </c>
      <c r="J117" s="609">
        <v>73.16</v>
      </c>
      <c r="K117" s="610">
        <f t="shared" si="14"/>
        <v>161.28999919999998</v>
      </c>
      <c r="L117" s="205" t="s">
        <v>1238</v>
      </c>
    </row>
    <row r="118" spans="2:12" s="93" customFormat="1">
      <c r="B118" s="586" t="s">
        <v>1548</v>
      </c>
      <c r="C118" s="586">
        <v>6.8000000000000005E-2</v>
      </c>
      <c r="D118" s="586">
        <v>59.6</v>
      </c>
      <c r="E118" s="611"/>
      <c r="H118" s="205" t="s">
        <v>2221</v>
      </c>
      <c r="I118" s="608" t="s">
        <v>2222</v>
      </c>
      <c r="J118" s="609">
        <v>7.71</v>
      </c>
      <c r="K118" s="610">
        <f t="shared" si="14"/>
        <v>16.9976202</v>
      </c>
      <c r="L118" s="205" t="s">
        <v>1238</v>
      </c>
    </row>
    <row r="119" spans="2:12" ht="14">
      <c r="B119" s="586" t="s">
        <v>1549</v>
      </c>
      <c r="C119" s="586">
        <v>8.4000000000000005E-2</v>
      </c>
      <c r="D119" s="586">
        <v>68.44</v>
      </c>
      <c r="E119" s="596"/>
      <c r="H119" s="205" t="s">
        <v>2223</v>
      </c>
      <c r="I119" s="608" t="s">
        <v>68</v>
      </c>
      <c r="J119" s="609">
        <v>70.900000000000006</v>
      </c>
      <c r="K119" s="610">
        <f t="shared" si="14"/>
        <v>156.307558</v>
      </c>
      <c r="L119" s="205" t="s">
        <v>1238</v>
      </c>
    </row>
    <row r="120" spans="2:12" ht="15" customHeight="1">
      <c r="B120" s="586" t="s">
        <v>1550</v>
      </c>
      <c r="C120" s="586">
        <v>5.8000000000000003E-2</v>
      </c>
      <c r="D120" s="586">
        <v>65.959999999999994</v>
      </c>
      <c r="E120" s="596"/>
      <c r="H120" s="205" t="s">
        <v>1544</v>
      </c>
      <c r="I120" s="608" t="s">
        <v>78</v>
      </c>
      <c r="J120" s="609">
        <v>72.3</v>
      </c>
      <c r="K120" s="610">
        <f t="shared" si="14"/>
        <v>159.39402599999997</v>
      </c>
      <c r="L120" s="205" t="s">
        <v>1238</v>
      </c>
    </row>
    <row r="121" spans="2:12" ht="14">
      <c r="B121" s="586" t="s">
        <v>1551</v>
      </c>
      <c r="C121" s="586">
        <v>9.9000000000000005E-2</v>
      </c>
      <c r="D121" s="586">
        <v>64.94</v>
      </c>
      <c r="E121" s="596"/>
      <c r="H121" s="205" t="s">
        <v>2224</v>
      </c>
      <c r="I121" s="608" t="s">
        <v>2225</v>
      </c>
      <c r="J121" s="609">
        <v>97.7</v>
      </c>
      <c r="K121" s="610">
        <f t="shared" si="14"/>
        <v>215.39137399999998</v>
      </c>
      <c r="L121" s="205" t="s">
        <v>1238</v>
      </c>
    </row>
    <row r="122" spans="2:12" ht="15" customHeight="1">
      <c r="B122" s="586" t="s">
        <v>1552</v>
      </c>
      <c r="C122" s="586">
        <v>0.10299999999999999</v>
      </c>
      <c r="D122" s="586">
        <v>68.86</v>
      </c>
      <c r="E122" s="596"/>
      <c r="H122" s="205" t="s">
        <v>1510</v>
      </c>
      <c r="I122" s="608" t="s">
        <v>2226</v>
      </c>
      <c r="J122" s="609">
        <v>41.69</v>
      </c>
      <c r="K122" s="610">
        <f t="shared" si="14"/>
        <v>91.91060779999998</v>
      </c>
      <c r="L122" s="205" t="s">
        <v>1238</v>
      </c>
    </row>
    <row r="123" spans="2:12" ht="14">
      <c r="B123" s="586" t="s">
        <v>1553</v>
      </c>
      <c r="C123" s="586">
        <v>0.10299999999999999</v>
      </c>
      <c r="D123" s="586">
        <v>64.77</v>
      </c>
      <c r="E123" s="596"/>
      <c r="H123" s="205" t="s">
        <v>1500</v>
      </c>
      <c r="I123" s="608" t="s">
        <v>41</v>
      </c>
      <c r="J123" s="609">
        <v>53.07</v>
      </c>
      <c r="K123" s="610">
        <f t="shared" si="14"/>
        <v>116.99918339999999</v>
      </c>
      <c r="L123" s="205" t="s">
        <v>1238</v>
      </c>
    </row>
    <row r="124" spans="2:12" ht="14">
      <c r="B124" s="586" t="s">
        <v>1554</v>
      </c>
      <c r="C124" s="586">
        <v>0.105</v>
      </c>
      <c r="D124" s="586">
        <v>68.72</v>
      </c>
      <c r="E124" s="596"/>
      <c r="H124" s="205" t="s">
        <v>1560</v>
      </c>
      <c r="I124" s="608" t="s">
        <v>67</v>
      </c>
      <c r="J124" s="609">
        <v>102.1</v>
      </c>
      <c r="K124" s="610">
        <f t="shared" si="14"/>
        <v>225.09170199999997</v>
      </c>
      <c r="L124" s="205" t="s">
        <v>1238</v>
      </c>
    </row>
    <row r="125" spans="2:12" ht="14">
      <c r="B125" s="586" t="s">
        <v>1555</v>
      </c>
      <c r="C125" s="586">
        <v>0.125</v>
      </c>
      <c r="D125" s="586">
        <v>68.02</v>
      </c>
      <c r="E125" s="596"/>
      <c r="H125" s="205" t="s">
        <v>1575</v>
      </c>
      <c r="I125" s="608" t="s">
        <v>439</v>
      </c>
      <c r="J125" s="609">
        <v>63.07</v>
      </c>
      <c r="K125" s="610">
        <f t="shared" si="14"/>
        <v>139.04538339999999</v>
      </c>
      <c r="L125" s="205" t="s">
        <v>1238</v>
      </c>
    </row>
    <row r="126" spans="2:12" ht="50.5">
      <c r="B126" s="586" t="s">
        <v>1556</v>
      </c>
      <c r="C126" s="586">
        <v>0.11</v>
      </c>
      <c r="D126" s="586">
        <v>66.88</v>
      </c>
      <c r="E126" s="596"/>
      <c r="H126" s="205" t="s">
        <v>2227</v>
      </c>
      <c r="I126" s="608" t="s">
        <v>2228</v>
      </c>
      <c r="J126" s="609">
        <v>93.3</v>
      </c>
      <c r="K126" s="610">
        <f t="shared" si="14"/>
        <v>205.69104599999997</v>
      </c>
      <c r="L126" s="205" t="s">
        <v>407</v>
      </c>
    </row>
    <row r="127" spans="2:12" ht="14">
      <c r="B127" s="586" t="s">
        <v>1557</v>
      </c>
      <c r="C127" s="586">
        <v>0.13900000000000001</v>
      </c>
      <c r="D127" s="586">
        <v>76.22</v>
      </c>
      <c r="E127" s="596"/>
      <c r="H127" s="205" t="s">
        <v>2229</v>
      </c>
      <c r="I127" s="608" t="s">
        <v>63</v>
      </c>
      <c r="J127" s="609">
        <v>78.790000000000006</v>
      </c>
      <c r="K127" s="610">
        <f t="shared" si="14"/>
        <v>173.70200979999998</v>
      </c>
      <c r="L127" s="205" t="s">
        <v>1238</v>
      </c>
    </row>
    <row r="128" spans="2:12" ht="50.5">
      <c r="B128" s="586" t="s">
        <v>1558</v>
      </c>
      <c r="C128" s="586">
        <v>0.11</v>
      </c>
      <c r="D128" s="586">
        <v>70.02</v>
      </c>
      <c r="E128" s="596"/>
      <c r="H128" s="205" t="s">
        <v>2230</v>
      </c>
      <c r="I128" s="608" t="s">
        <v>2231</v>
      </c>
      <c r="J128" s="609" t="s">
        <v>2232</v>
      </c>
      <c r="K128" s="610"/>
      <c r="L128" s="205" t="s">
        <v>2233</v>
      </c>
    </row>
    <row r="129" spans="2:12" ht="50.5">
      <c r="B129" s="586" t="s">
        <v>1559</v>
      </c>
      <c r="C129" s="586">
        <v>0.125</v>
      </c>
      <c r="D129" s="586">
        <v>71.02</v>
      </c>
      <c r="E129" s="596"/>
      <c r="H129" s="205" t="s">
        <v>2234</v>
      </c>
      <c r="I129" s="608" t="s">
        <v>2235</v>
      </c>
      <c r="J129" s="609" t="s">
        <v>2232</v>
      </c>
      <c r="K129" s="610"/>
      <c r="L129" s="205" t="s">
        <v>2233</v>
      </c>
    </row>
    <row r="130" spans="2:12" ht="14">
      <c r="B130" s="586" t="s">
        <v>1560</v>
      </c>
      <c r="C130" s="586">
        <v>0.14299999999999999</v>
      </c>
      <c r="D130" s="586">
        <v>102.41</v>
      </c>
      <c r="E130" s="596"/>
      <c r="H130" s="205" t="s">
        <v>2236</v>
      </c>
      <c r="I130" s="608" t="s">
        <v>50</v>
      </c>
      <c r="J130" s="609">
        <v>97.2</v>
      </c>
      <c r="K130" s="610">
        <f>J130*2.20462</f>
        <v>214.289064</v>
      </c>
      <c r="L130" s="205" t="s">
        <v>1238</v>
      </c>
    </row>
    <row r="131" spans="2:12" ht="14">
      <c r="B131" s="586" t="s">
        <v>1561</v>
      </c>
      <c r="C131" s="586">
        <v>0.125</v>
      </c>
      <c r="D131" s="586">
        <v>72.34</v>
      </c>
      <c r="E131" s="596"/>
      <c r="H131" s="205" t="s">
        <v>2237</v>
      </c>
      <c r="I131" s="608" t="s">
        <v>410</v>
      </c>
      <c r="J131" s="609">
        <v>85.97</v>
      </c>
      <c r="K131" s="610">
        <f>J131*2.20462</f>
        <v>189.53118139999998</v>
      </c>
      <c r="L131" s="205" t="s">
        <v>1238</v>
      </c>
    </row>
    <row r="132" spans="2:12" ht="50.5">
      <c r="B132" s="586" t="s">
        <v>1562</v>
      </c>
      <c r="C132" s="586">
        <v>0.13900000000000001</v>
      </c>
      <c r="D132" s="586">
        <v>74.540000000000006</v>
      </c>
      <c r="E132" s="596"/>
      <c r="H132" s="205" t="s">
        <v>2238</v>
      </c>
      <c r="I132" s="608" t="s">
        <v>2239</v>
      </c>
      <c r="J132" s="609">
        <v>93.3</v>
      </c>
      <c r="K132" s="610">
        <f>J132*2.20462</f>
        <v>205.69104599999997</v>
      </c>
      <c r="L132" s="205" t="s">
        <v>407</v>
      </c>
    </row>
    <row r="133" spans="2:12" ht="14">
      <c r="B133" s="586" t="s">
        <v>1563</v>
      </c>
      <c r="C133" s="586">
        <v>0.14799999999999999</v>
      </c>
      <c r="D133" s="586">
        <v>74.92</v>
      </c>
      <c r="E133" s="596"/>
      <c r="H133" s="205" t="s">
        <v>2240</v>
      </c>
      <c r="I133" s="608" t="s">
        <v>75</v>
      </c>
      <c r="J133" s="609">
        <v>95.25</v>
      </c>
      <c r="K133" s="610">
        <f>J133*2.20462</f>
        <v>209.99005499999998</v>
      </c>
      <c r="L133" s="205" t="s">
        <v>1238</v>
      </c>
    </row>
    <row r="134" spans="2:12" ht="15" customHeight="1">
      <c r="B134" s="586" t="s">
        <v>1564</v>
      </c>
      <c r="C134" s="586">
        <v>0.14399999999999999</v>
      </c>
      <c r="D134" s="586">
        <v>74.27</v>
      </c>
      <c r="E134" s="596"/>
      <c r="H134" s="935" t="s">
        <v>2241</v>
      </c>
      <c r="I134" s="935"/>
      <c r="J134" s="935"/>
      <c r="K134" s="935"/>
      <c r="L134" s="935"/>
    </row>
    <row r="135" spans="2:12" ht="14">
      <c r="B135" s="586" t="s">
        <v>1565</v>
      </c>
      <c r="C135" s="586">
        <v>0.125</v>
      </c>
      <c r="D135" s="586">
        <v>70.22</v>
      </c>
      <c r="E135" s="596"/>
      <c r="H135" s="612" t="s">
        <v>2242</v>
      </c>
      <c r="I135" s="612"/>
      <c r="J135" s="612"/>
      <c r="K135" s="612"/>
      <c r="L135" s="612"/>
    </row>
    <row r="136" spans="2:12" ht="14">
      <c r="B136" s="586" t="s">
        <v>1566</v>
      </c>
      <c r="C136" s="586">
        <v>0.12</v>
      </c>
      <c r="D136" s="586">
        <v>69.25</v>
      </c>
      <c r="E136" s="596"/>
      <c r="H136" s="613" t="s">
        <v>2243</v>
      </c>
      <c r="I136" s="614"/>
      <c r="J136" s="614"/>
      <c r="K136" s="615"/>
      <c r="L136" s="616"/>
    </row>
    <row r="137" spans="2:12" ht="14">
      <c r="B137" s="586" t="s">
        <v>1567</v>
      </c>
      <c r="C137" s="586">
        <v>0.13500000000000001</v>
      </c>
      <c r="D137" s="586">
        <v>72.22</v>
      </c>
      <c r="E137" s="596"/>
      <c r="H137" s="617"/>
      <c r="I137" s="618"/>
      <c r="J137" s="618"/>
      <c r="K137" s="619"/>
      <c r="L137" s="602"/>
    </row>
    <row r="138" spans="2:12" ht="14">
      <c r="B138" s="586" t="s">
        <v>1568</v>
      </c>
      <c r="C138" s="586">
        <v>0.158</v>
      </c>
      <c r="D138" s="586">
        <v>75.36</v>
      </c>
      <c r="E138" s="596"/>
      <c r="H138" s="32"/>
      <c r="I138" s="620"/>
      <c r="J138" s="33"/>
      <c r="K138" s="33"/>
      <c r="L138" s="32"/>
    </row>
    <row r="139" spans="2:12" ht="15.75" customHeight="1">
      <c r="B139" s="586" t="s">
        <v>1569</v>
      </c>
      <c r="C139" s="586">
        <v>0.13800000000000001</v>
      </c>
      <c r="D139" s="586">
        <v>74.540000000000006</v>
      </c>
      <c r="E139" s="596"/>
      <c r="H139" s="32"/>
      <c r="I139" s="915"/>
      <c r="J139" s="915"/>
      <c r="K139" s="915"/>
      <c r="L139" s="32"/>
    </row>
    <row r="140" spans="2:12" ht="14">
      <c r="B140" s="595" t="s">
        <v>1570</v>
      </c>
      <c r="C140" s="595" t="s">
        <v>1494</v>
      </c>
      <c r="D140" s="595" t="s">
        <v>1495</v>
      </c>
      <c r="E140" s="596"/>
      <c r="H140" s="32"/>
      <c r="I140" s="915"/>
      <c r="J140" s="915"/>
      <c r="K140" s="915"/>
      <c r="L140" s="32"/>
    </row>
    <row r="141" spans="2:12" ht="14">
      <c r="B141" s="586" t="s">
        <v>1510</v>
      </c>
      <c r="C141" s="586">
        <v>9.9529999999999994</v>
      </c>
      <c r="D141" s="586">
        <v>90.7</v>
      </c>
      <c r="E141" s="596"/>
      <c r="H141" s="32"/>
      <c r="I141" s="915"/>
      <c r="J141" s="915"/>
      <c r="K141" s="915"/>
      <c r="L141" s="32"/>
    </row>
    <row r="142" spans="2:12" ht="14">
      <c r="B142" s="586" t="s">
        <v>1514</v>
      </c>
      <c r="C142" s="586">
        <v>28</v>
      </c>
      <c r="D142" s="586">
        <v>85.97</v>
      </c>
      <c r="E142" s="596"/>
      <c r="H142" s="32"/>
      <c r="I142" s="915"/>
      <c r="J142" s="915"/>
      <c r="K142" s="915"/>
      <c r="L142" s="32"/>
    </row>
    <row r="143" spans="2:12" ht="14">
      <c r="B143" s="586" t="s">
        <v>1571</v>
      </c>
      <c r="C143" s="586">
        <v>38</v>
      </c>
      <c r="D143" s="586">
        <v>75</v>
      </c>
      <c r="E143" s="596"/>
      <c r="H143" s="32"/>
      <c r="I143" s="915"/>
      <c r="J143" s="915"/>
      <c r="K143" s="915"/>
      <c r="L143" s="32"/>
    </row>
    <row r="144" spans="2:12" ht="14">
      <c r="B144" s="586" t="s">
        <v>1560</v>
      </c>
      <c r="C144" s="586">
        <v>30</v>
      </c>
      <c r="D144" s="586">
        <v>102.41</v>
      </c>
      <c r="E144" s="596"/>
    </row>
    <row r="145" spans="2:11" ht="14.5" thickBot="1">
      <c r="B145" s="595" t="s">
        <v>1572</v>
      </c>
      <c r="C145" s="595" t="s">
        <v>1527</v>
      </c>
      <c r="D145" s="595" t="s">
        <v>1495</v>
      </c>
      <c r="E145" s="596"/>
      <c r="I145" s="89" t="s">
        <v>1612</v>
      </c>
    </row>
    <row r="146" spans="2:11" ht="23.5">
      <c r="B146" s="586" t="s">
        <v>1516</v>
      </c>
      <c r="C146" s="586" t="s">
        <v>1573</v>
      </c>
      <c r="D146" s="586">
        <v>274.32</v>
      </c>
      <c r="E146" s="596"/>
      <c r="I146" s="546" t="s">
        <v>217</v>
      </c>
      <c r="J146" s="547" t="s">
        <v>333</v>
      </c>
      <c r="K146" s="621" t="s">
        <v>334</v>
      </c>
    </row>
    <row r="147" spans="2:11" ht="14">
      <c r="B147" s="586" t="s">
        <v>1519</v>
      </c>
      <c r="C147" s="586" t="s">
        <v>1574</v>
      </c>
      <c r="D147" s="586">
        <v>46.85</v>
      </c>
      <c r="E147" s="596"/>
      <c r="I147" s="551" t="s">
        <v>221</v>
      </c>
      <c r="J147" s="552"/>
      <c r="K147" s="622"/>
    </row>
    <row r="148" spans="2:11" ht="14">
      <c r="B148" s="586" t="s">
        <v>1575</v>
      </c>
      <c r="C148" s="586" t="s">
        <v>1576</v>
      </c>
      <c r="D148" s="586">
        <v>61.46</v>
      </c>
      <c r="E148" s="596"/>
      <c r="I148" s="555" t="s">
        <v>400</v>
      </c>
      <c r="J148" s="623">
        <v>94600</v>
      </c>
      <c r="K148" s="624">
        <f>J148*$C$90*$C$89/1000000</f>
        <v>220.03959926905674</v>
      </c>
    </row>
    <row r="149" spans="2:11" ht="14">
      <c r="B149" s="586" t="s">
        <v>1577</v>
      </c>
      <c r="C149" s="586" t="s">
        <v>1578</v>
      </c>
      <c r="D149" s="586">
        <v>59</v>
      </c>
      <c r="E149" s="596"/>
      <c r="I149" s="555" t="s">
        <v>401</v>
      </c>
      <c r="J149" s="623">
        <v>96100</v>
      </c>
      <c r="K149" s="624">
        <f>J149*$C$90*$C$89/1000000</f>
        <v>223.52859925746671</v>
      </c>
    </row>
    <row r="150" spans="2:11" ht="14">
      <c r="B150" s="595" t="s">
        <v>1579</v>
      </c>
      <c r="C150" s="595" t="s">
        <v>1494</v>
      </c>
      <c r="D150" s="595" t="s">
        <v>1495</v>
      </c>
      <c r="E150" s="596"/>
      <c r="I150" s="555" t="s">
        <v>389</v>
      </c>
      <c r="J150" s="623"/>
      <c r="K150" s="624"/>
    </row>
    <row r="151" spans="2:11" ht="14">
      <c r="B151" s="586" t="s">
        <v>1580</v>
      </c>
      <c r="C151" s="586">
        <v>17.48</v>
      </c>
      <c r="D151" s="586">
        <v>93.8</v>
      </c>
      <c r="E151" s="596"/>
      <c r="I151" s="555" t="s">
        <v>388</v>
      </c>
      <c r="J151" s="623">
        <v>56100</v>
      </c>
      <c r="K151" s="624">
        <f>J151*$C$90*$C$89/1000000</f>
        <v>130.48859956653362</v>
      </c>
    </row>
    <row r="152" spans="2:11" ht="14">
      <c r="B152" s="586" t="s">
        <v>1581</v>
      </c>
      <c r="C152" s="586">
        <v>8.25</v>
      </c>
      <c r="D152" s="586">
        <v>118.17</v>
      </c>
      <c r="E152" s="596"/>
      <c r="I152" s="565" t="s">
        <v>397</v>
      </c>
      <c r="J152" s="623"/>
      <c r="K152" s="624"/>
    </row>
    <row r="153" spans="2:11" ht="14">
      <c r="B153" s="586" t="s">
        <v>1582</v>
      </c>
      <c r="C153" s="586">
        <v>8</v>
      </c>
      <c r="D153" s="586">
        <v>111.84</v>
      </c>
      <c r="E153" s="596"/>
      <c r="I153" s="555" t="s">
        <v>402</v>
      </c>
      <c r="J153" s="623">
        <v>91700</v>
      </c>
      <c r="K153" s="624">
        <f>J153*$C$90*$C$89/1000000</f>
        <v>213.29419929146405</v>
      </c>
    </row>
    <row r="154" spans="2:11" ht="14">
      <c r="B154" s="586" t="s">
        <v>1583</v>
      </c>
      <c r="C154" s="586">
        <v>10.39</v>
      </c>
      <c r="D154" s="586">
        <v>105.51</v>
      </c>
      <c r="E154" s="596"/>
      <c r="I154" s="555" t="s">
        <v>403</v>
      </c>
      <c r="J154" s="623"/>
      <c r="K154" s="624"/>
    </row>
    <row r="155" spans="2:11" ht="14">
      <c r="B155" s="595" t="s">
        <v>1584</v>
      </c>
      <c r="C155" s="595" t="s">
        <v>1527</v>
      </c>
      <c r="D155" s="595" t="s">
        <v>1495</v>
      </c>
      <c r="E155" s="596"/>
      <c r="I155" s="555" t="s">
        <v>398</v>
      </c>
      <c r="J155" s="623"/>
      <c r="K155" s="624"/>
    </row>
    <row r="156" spans="2:11" ht="14">
      <c r="B156" s="586" t="s">
        <v>1585</v>
      </c>
      <c r="C156" s="586" t="s">
        <v>1586</v>
      </c>
      <c r="D156" s="586">
        <v>52.07</v>
      </c>
      <c r="E156" s="596"/>
      <c r="I156" s="555" t="s">
        <v>391</v>
      </c>
      <c r="J156" s="623">
        <v>97500</v>
      </c>
      <c r="K156" s="624">
        <f>J156*$C$90*$C$89/1000000</f>
        <v>226.78499924664936</v>
      </c>
    </row>
    <row r="157" spans="2:11" ht="14">
      <c r="B157" s="586" t="s">
        <v>1587</v>
      </c>
      <c r="C157" s="586" t="s">
        <v>1588</v>
      </c>
      <c r="D157" s="586">
        <v>52.07</v>
      </c>
      <c r="E157" s="596"/>
      <c r="I157" s="555" t="s">
        <v>390</v>
      </c>
      <c r="J157" s="623">
        <v>77400</v>
      </c>
      <c r="K157" s="624">
        <f>J157*$C$90*$C$89/1000000</f>
        <v>180.03239940195547</v>
      </c>
    </row>
    <row r="158" spans="2:11" ht="14">
      <c r="B158" s="595" t="s">
        <v>1589</v>
      </c>
      <c r="C158" s="595" t="s">
        <v>1537</v>
      </c>
      <c r="D158" s="595" t="s">
        <v>1495</v>
      </c>
      <c r="E158" s="596"/>
      <c r="I158" s="555" t="s">
        <v>392</v>
      </c>
      <c r="J158" s="623">
        <v>71500</v>
      </c>
      <c r="K158" s="624">
        <f>J158*$C$90*$C$89/1000000</f>
        <v>166.30899944754287</v>
      </c>
    </row>
    <row r="159" spans="2:11" ht="14">
      <c r="B159" s="586" t="s">
        <v>1549</v>
      </c>
      <c r="C159" s="586">
        <v>8.4000000000000005E-2</v>
      </c>
      <c r="D159" s="586">
        <v>68.44</v>
      </c>
      <c r="E159" s="596"/>
      <c r="I159" s="555" t="s">
        <v>393</v>
      </c>
      <c r="J159" s="623">
        <v>71900</v>
      </c>
      <c r="K159" s="624">
        <f>J159*$C$90*$C$89/1000000</f>
        <v>167.23939944445218</v>
      </c>
    </row>
    <row r="160" spans="2:11" ht="14">
      <c r="B160" s="586" t="s">
        <v>1590</v>
      </c>
      <c r="C160" s="586">
        <v>0.128</v>
      </c>
      <c r="D160" s="586">
        <v>73.84</v>
      </c>
      <c r="E160" s="596"/>
      <c r="I160" s="555" t="s">
        <v>394</v>
      </c>
      <c r="J160" s="623">
        <v>73300</v>
      </c>
      <c r="K160" s="624">
        <f>J160*$C$90*$C$89/1000000</f>
        <v>170.49579943363486</v>
      </c>
    </row>
    <row r="161" spans="2:11" ht="14">
      <c r="B161" s="586" t="s">
        <v>1591</v>
      </c>
      <c r="C161" s="586">
        <v>0.125</v>
      </c>
      <c r="D161" s="586">
        <v>71.06</v>
      </c>
      <c r="E161" s="596"/>
      <c r="I161" s="555" t="s">
        <v>448</v>
      </c>
      <c r="J161" s="145"/>
      <c r="K161" s="146"/>
    </row>
    <row r="162" spans="2:11" ht="14">
      <c r="B162" s="586" t="s">
        <v>1592</v>
      </c>
      <c r="C162" s="586">
        <v>0.12</v>
      </c>
      <c r="D162" s="586">
        <v>81.55</v>
      </c>
      <c r="E162" s="596"/>
      <c r="I162" s="555"/>
      <c r="J162" s="623"/>
      <c r="K162" s="624"/>
    </row>
    <row r="163" spans="2:11">
      <c r="I163" s="551" t="s">
        <v>227</v>
      </c>
      <c r="J163" s="623"/>
      <c r="K163" s="624"/>
    </row>
    <row r="164" spans="2:11">
      <c r="I164" s="565" t="s">
        <v>396</v>
      </c>
      <c r="J164" s="623">
        <v>54600</v>
      </c>
      <c r="K164" s="624">
        <f t="shared" ref="K164:K169" si="15">J164*$C$90*$C$89/1000000</f>
        <v>126.99959957812365</v>
      </c>
    </row>
    <row r="165" spans="2:11">
      <c r="I165" s="565" t="s">
        <v>399</v>
      </c>
      <c r="J165" s="623">
        <v>100000</v>
      </c>
      <c r="K165" s="624">
        <f t="shared" si="15"/>
        <v>232.59999922733269</v>
      </c>
    </row>
    <row r="166" spans="2:11">
      <c r="I166" s="565" t="s">
        <v>395</v>
      </c>
      <c r="J166" s="623">
        <v>95300</v>
      </c>
      <c r="K166" s="624">
        <f t="shared" si="15"/>
        <v>221.66779926364802</v>
      </c>
    </row>
    <row r="167" spans="2:11">
      <c r="I167" s="565" t="s">
        <v>404</v>
      </c>
      <c r="J167" s="623">
        <v>112000</v>
      </c>
      <c r="K167" s="624">
        <f t="shared" si="15"/>
        <v>260.51199913461261</v>
      </c>
    </row>
    <row r="168" spans="2:11">
      <c r="I168" s="565" t="s">
        <v>450</v>
      </c>
      <c r="J168" s="623">
        <v>100000</v>
      </c>
      <c r="K168" s="624">
        <f t="shared" si="15"/>
        <v>232.59999922733269</v>
      </c>
    </row>
    <row r="169" spans="2:11" ht="13" thickBot="1">
      <c r="I169" s="569" t="s">
        <v>449</v>
      </c>
      <c r="J169" s="625">
        <v>54600</v>
      </c>
      <c r="K169" s="626">
        <f t="shared" si="15"/>
        <v>126.99959957812365</v>
      </c>
    </row>
    <row r="172" spans="2:11" ht="13.5" thickBot="1">
      <c r="I172" s="89" t="s">
        <v>1613</v>
      </c>
    </row>
    <row r="173" spans="2:11" ht="23">
      <c r="I173" s="546" t="s">
        <v>217</v>
      </c>
      <c r="J173" s="547" t="s">
        <v>219</v>
      </c>
      <c r="K173" s="621" t="s">
        <v>345</v>
      </c>
    </row>
    <row r="174" spans="2:11">
      <c r="I174" s="551" t="s">
        <v>221</v>
      </c>
      <c r="J174" s="552"/>
      <c r="K174" s="622"/>
    </row>
    <row r="175" spans="2:11">
      <c r="I175" s="555" t="s">
        <v>400</v>
      </c>
      <c r="J175" s="552">
        <v>1</v>
      </c>
      <c r="K175" s="627">
        <f>J175*$C$90*$C$89/1000000</f>
        <v>2.3259999922733269E-3</v>
      </c>
    </row>
    <row r="176" spans="2:11">
      <c r="I176" s="555" t="s">
        <v>401</v>
      </c>
      <c r="J176" s="552">
        <v>1</v>
      </c>
      <c r="K176" s="627">
        <f>J176*$C$90*$C$89/1000000</f>
        <v>2.3259999922733269E-3</v>
      </c>
    </row>
    <row r="177" spans="9:11">
      <c r="I177" s="555" t="s">
        <v>389</v>
      </c>
      <c r="J177" s="552">
        <v>3</v>
      </c>
      <c r="K177" s="627">
        <f>J177*$C$90*$C$89/1000000</f>
        <v>6.9779999768199794E-3</v>
      </c>
    </row>
    <row r="178" spans="9:11">
      <c r="I178" s="555" t="s">
        <v>388</v>
      </c>
      <c r="J178" s="552">
        <v>1</v>
      </c>
      <c r="K178" s="627">
        <f>J178*$C$90*$C$89/1000000</f>
        <v>2.3259999922733269E-3</v>
      </c>
    </row>
    <row r="179" spans="9:11">
      <c r="I179" s="565" t="s">
        <v>397</v>
      </c>
      <c r="J179" s="552"/>
      <c r="K179" s="627"/>
    </row>
    <row r="180" spans="9:11">
      <c r="I180" s="555" t="s">
        <v>402</v>
      </c>
      <c r="J180" s="552">
        <v>30</v>
      </c>
      <c r="K180" s="627">
        <f>J180*$C$90*$C$89/1000000</f>
        <v>6.9779999768199791E-2</v>
      </c>
    </row>
    <row r="181" spans="9:11">
      <c r="I181" s="555" t="s">
        <v>403</v>
      </c>
      <c r="J181" s="552"/>
      <c r="K181" s="627"/>
    </row>
    <row r="182" spans="9:11">
      <c r="I182" s="555" t="s">
        <v>398</v>
      </c>
      <c r="J182" s="552">
        <v>30</v>
      </c>
      <c r="K182" s="627">
        <f t="shared" ref="K182:K188" si="16">J182*$C$90*$C$89/1000000</f>
        <v>6.9779999768199791E-2</v>
      </c>
    </row>
    <row r="183" spans="9:11">
      <c r="I183" s="555" t="s">
        <v>391</v>
      </c>
      <c r="J183" s="552">
        <v>3</v>
      </c>
      <c r="K183" s="627">
        <f t="shared" si="16"/>
        <v>6.9779999768199794E-3</v>
      </c>
    </row>
    <row r="184" spans="9:11">
      <c r="I184" s="555" t="s">
        <v>390</v>
      </c>
      <c r="J184" s="552">
        <v>3</v>
      </c>
      <c r="K184" s="627">
        <f t="shared" si="16"/>
        <v>6.9779999768199794E-3</v>
      </c>
    </row>
    <row r="185" spans="9:11">
      <c r="I185" s="555" t="s">
        <v>392</v>
      </c>
      <c r="J185" s="552">
        <v>3</v>
      </c>
      <c r="K185" s="627">
        <f t="shared" si="16"/>
        <v>6.9779999768199794E-3</v>
      </c>
    </row>
    <row r="186" spans="9:11">
      <c r="I186" s="555" t="s">
        <v>393</v>
      </c>
      <c r="J186" s="552">
        <v>3</v>
      </c>
      <c r="K186" s="627">
        <f t="shared" si="16"/>
        <v>6.9779999768199794E-3</v>
      </c>
    </row>
    <row r="187" spans="9:11">
      <c r="I187" s="555" t="s">
        <v>394</v>
      </c>
      <c r="J187" s="552">
        <v>30</v>
      </c>
      <c r="K187" s="627">
        <f t="shared" si="16"/>
        <v>6.9779999768199791E-2</v>
      </c>
    </row>
    <row r="188" spans="9:11">
      <c r="I188" s="555" t="s">
        <v>448</v>
      </c>
      <c r="J188" s="40">
        <v>1</v>
      </c>
      <c r="K188" s="628">
        <f t="shared" si="16"/>
        <v>2.3259999922733269E-3</v>
      </c>
    </row>
    <row r="189" spans="9:11">
      <c r="I189" s="555"/>
      <c r="J189" s="552"/>
      <c r="K189" s="627"/>
    </row>
    <row r="190" spans="9:11">
      <c r="I190" s="551" t="s">
        <v>227</v>
      </c>
      <c r="J190" s="552"/>
      <c r="K190" s="627"/>
    </row>
    <row r="191" spans="9:11">
      <c r="I191" s="565" t="s">
        <v>396</v>
      </c>
      <c r="J191" s="552">
        <v>1</v>
      </c>
      <c r="K191" s="627">
        <f t="shared" ref="K191:K196" si="17">J191*$C$90*$C$89/1000000</f>
        <v>2.3259999922733269E-3</v>
      </c>
    </row>
    <row r="192" spans="9:11">
      <c r="I192" s="565" t="s">
        <v>399</v>
      </c>
      <c r="J192" s="552">
        <v>30</v>
      </c>
      <c r="K192" s="627">
        <f t="shared" si="17"/>
        <v>6.9779999768199791E-2</v>
      </c>
    </row>
    <row r="193" spans="9:11">
      <c r="I193" s="565" t="s">
        <v>395</v>
      </c>
      <c r="J193" s="552">
        <v>3</v>
      </c>
      <c r="K193" s="627">
        <f t="shared" si="17"/>
        <v>6.9779999768199794E-3</v>
      </c>
    </row>
    <row r="194" spans="9:11">
      <c r="I194" s="565" t="s">
        <v>404</v>
      </c>
      <c r="J194" s="552">
        <v>30</v>
      </c>
      <c r="K194" s="627">
        <f t="shared" si="17"/>
        <v>6.9779999768199791E-2</v>
      </c>
    </row>
    <row r="195" spans="9:11">
      <c r="I195" s="565" t="s">
        <v>450</v>
      </c>
      <c r="J195" s="552">
        <v>30</v>
      </c>
      <c r="K195" s="627">
        <f t="shared" si="17"/>
        <v>6.9779999768199791E-2</v>
      </c>
    </row>
    <row r="196" spans="9:11" ht="13" thickBot="1">
      <c r="I196" s="569" t="s">
        <v>449</v>
      </c>
      <c r="J196" s="629">
        <v>1</v>
      </c>
      <c r="K196" s="630">
        <f t="shared" si="17"/>
        <v>2.3259999922733269E-3</v>
      </c>
    </row>
    <row r="199" spans="9:11" ht="13.5" thickBot="1">
      <c r="I199" s="89" t="s">
        <v>1614</v>
      </c>
    </row>
    <row r="200" spans="9:11" ht="23">
      <c r="I200" s="546" t="s">
        <v>217</v>
      </c>
      <c r="J200" s="547" t="s">
        <v>1615</v>
      </c>
      <c r="K200" s="621" t="s">
        <v>1604</v>
      </c>
    </row>
    <row r="201" spans="9:11">
      <c r="I201" s="551" t="s">
        <v>221</v>
      </c>
      <c r="J201" s="552"/>
      <c r="K201" s="622"/>
    </row>
    <row r="202" spans="9:11">
      <c r="I202" s="555" t="s">
        <v>400</v>
      </c>
      <c r="J202" s="552">
        <v>1.5</v>
      </c>
      <c r="K202" s="627">
        <f>J202*$C$90*$C$89/1000000</f>
        <v>3.4889999884099897E-3</v>
      </c>
    </row>
    <row r="203" spans="9:11">
      <c r="I203" s="555" t="s">
        <v>401</v>
      </c>
      <c r="J203" s="552">
        <v>1.5</v>
      </c>
      <c r="K203" s="627">
        <f>J203*$C$90*$C$89/1000000</f>
        <v>3.4889999884099897E-3</v>
      </c>
    </row>
    <row r="204" spans="9:11">
      <c r="I204" s="555" t="s">
        <v>389</v>
      </c>
      <c r="J204" s="552">
        <v>0.6</v>
      </c>
      <c r="K204" s="627">
        <f>J204*$C$90*$C$89/1000000</f>
        <v>1.3955999953639961E-3</v>
      </c>
    </row>
    <row r="205" spans="9:11">
      <c r="I205" s="555" t="s">
        <v>388</v>
      </c>
      <c r="J205" s="552">
        <v>0.1</v>
      </c>
      <c r="K205" s="627">
        <f>J205*$C$90*$C$89/1000000</f>
        <v>2.3259999922733269E-4</v>
      </c>
    </row>
    <row r="206" spans="9:11">
      <c r="I206" s="565" t="s">
        <v>397</v>
      </c>
      <c r="J206" s="552"/>
      <c r="K206" s="627"/>
    </row>
    <row r="207" spans="9:11">
      <c r="I207" s="555" t="s">
        <v>402</v>
      </c>
      <c r="J207" s="552">
        <v>4</v>
      </c>
      <c r="K207" s="627">
        <f>J207*$C$90*$C$89/1000000</f>
        <v>9.3039999690933076E-3</v>
      </c>
    </row>
    <row r="208" spans="9:11">
      <c r="I208" s="555" t="s">
        <v>403</v>
      </c>
      <c r="J208" s="552"/>
      <c r="K208" s="627"/>
    </row>
    <row r="209" spans="9:11">
      <c r="I209" s="555" t="s">
        <v>398</v>
      </c>
      <c r="J209" s="552">
        <v>4</v>
      </c>
      <c r="K209" s="627">
        <f t="shared" ref="K209:K215" si="18">J209*$C$90*$C$89/1000000</f>
        <v>9.3039999690933076E-3</v>
      </c>
    </row>
    <row r="210" spans="9:11">
      <c r="I210" s="555" t="s">
        <v>391</v>
      </c>
      <c r="J210" s="552">
        <v>0.6</v>
      </c>
      <c r="K210" s="627">
        <f t="shared" si="18"/>
        <v>1.3955999953639961E-3</v>
      </c>
    </row>
    <row r="211" spans="9:11">
      <c r="I211" s="555" t="s">
        <v>390</v>
      </c>
      <c r="J211" s="552">
        <v>0.6</v>
      </c>
      <c r="K211" s="627">
        <f t="shared" si="18"/>
        <v>1.3955999953639961E-3</v>
      </c>
    </row>
    <row r="212" spans="9:11">
      <c r="I212" s="555" t="s">
        <v>392</v>
      </c>
      <c r="J212" s="552">
        <v>0.6</v>
      </c>
      <c r="K212" s="627">
        <f t="shared" si="18"/>
        <v>1.3955999953639961E-3</v>
      </c>
    </row>
    <row r="213" spans="9:11">
      <c r="I213" s="555" t="s">
        <v>393</v>
      </c>
      <c r="J213" s="552">
        <v>0.6</v>
      </c>
      <c r="K213" s="627">
        <f t="shared" si="18"/>
        <v>1.3955999953639961E-3</v>
      </c>
    </row>
    <row r="214" spans="9:11">
      <c r="I214" s="555" t="s">
        <v>394</v>
      </c>
      <c r="J214" s="552">
        <v>4</v>
      </c>
      <c r="K214" s="627">
        <f t="shared" si="18"/>
        <v>9.3039999690933076E-3</v>
      </c>
    </row>
    <row r="215" spans="9:11">
      <c r="I215" s="555" t="s">
        <v>448</v>
      </c>
      <c r="J215" s="40">
        <v>0.1</v>
      </c>
      <c r="K215" s="628">
        <f t="shared" si="18"/>
        <v>2.3259999922733269E-4</v>
      </c>
    </row>
    <row r="216" spans="9:11">
      <c r="I216" s="555"/>
      <c r="J216" s="552"/>
      <c r="K216" s="627"/>
    </row>
    <row r="217" spans="9:11">
      <c r="I217" s="551" t="s">
        <v>227</v>
      </c>
      <c r="J217" s="552"/>
      <c r="K217" s="627"/>
    </row>
    <row r="218" spans="9:11">
      <c r="I218" s="565" t="s">
        <v>396</v>
      </c>
      <c r="J218" s="552">
        <v>0.1</v>
      </c>
      <c r="K218" s="627">
        <f t="shared" ref="K218:K223" si="19">J218*$C$90*$C$89/1000000</f>
        <v>2.3259999922733269E-4</v>
      </c>
    </row>
    <row r="219" spans="9:11">
      <c r="I219" s="565" t="s">
        <v>399</v>
      </c>
      <c r="J219" s="552">
        <v>4</v>
      </c>
      <c r="K219" s="627">
        <f t="shared" si="19"/>
        <v>9.3039999690933076E-3</v>
      </c>
    </row>
    <row r="220" spans="9:11">
      <c r="I220" s="565" t="s">
        <v>395</v>
      </c>
      <c r="J220" s="552">
        <v>2</v>
      </c>
      <c r="K220" s="627">
        <f t="shared" si="19"/>
        <v>4.6519999845466538E-3</v>
      </c>
    </row>
    <row r="221" spans="9:11">
      <c r="I221" s="565" t="s">
        <v>404</v>
      </c>
      <c r="J221" s="552">
        <v>4</v>
      </c>
      <c r="K221" s="627">
        <f t="shared" si="19"/>
        <v>9.3039999690933076E-3</v>
      </c>
    </row>
    <row r="222" spans="9:11">
      <c r="I222" s="565" t="s">
        <v>450</v>
      </c>
      <c r="J222" s="552">
        <v>4</v>
      </c>
      <c r="K222" s="627">
        <f t="shared" si="19"/>
        <v>9.3039999690933076E-3</v>
      </c>
    </row>
    <row r="223" spans="9:11" ht="13" thickBot="1">
      <c r="I223" s="569" t="s">
        <v>449</v>
      </c>
      <c r="J223" s="629">
        <v>0.1</v>
      </c>
      <c r="K223" s="630">
        <f t="shared" si="19"/>
        <v>2.3259999922733269E-4</v>
      </c>
    </row>
  </sheetData>
  <mergeCells count="6">
    <mergeCell ref="I139:K143"/>
    <mergeCell ref="C4:F8"/>
    <mergeCell ref="B27:G31"/>
    <mergeCell ref="H114:L114"/>
    <mergeCell ref="H134:L134"/>
    <mergeCell ref="B38:G41"/>
  </mergeCells>
  <dataValidations count="1">
    <dataValidation type="list" allowBlank="1" showInputMessage="1" showErrorMessage="1" sqref="C11">
      <formula1>$C$14:$C$17</formula1>
    </dataValidation>
  </dataValidations>
  <hyperlinks>
    <hyperlink ref="N92" r:id="rId1"/>
    <hyperlink ref="E92" r:id="rId2"/>
    <hyperlink ref="E91" r:id="rId3"/>
    <hyperlink ref="I112" r:id="rId4"/>
    <hyperlink ref="D36" r:id="rId5" display="https://www.epa.gov/sites/production/files/2015-07/documents/catalog_of_chp_technologies_section_6._technology_characterization_-_fuel_cells.pdf"/>
  </hyperlinks>
  <pageMargins left="0.7" right="0.7" top="0.75" bottom="0.75" header="0.3" footer="0.3"/>
  <pageSetup scale="34" fitToHeight="0" orientation="landscape"/>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Emission Factors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Richardson, Sue Ann (DEP)</cp:lastModifiedBy>
  <cp:lastPrinted>2019-12-03T19:52:32Z</cp:lastPrinted>
  <dcterms:created xsi:type="dcterms:W3CDTF">2010-01-22T15:38:48Z</dcterms:created>
  <dcterms:modified xsi:type="dcterms:W3CDTF">2021-06-22T14:00:19Z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Guid">
    <vt:lpwstr>d90edfcd-199e-4180-a526-533230d6161b</vt:lpwstr>
  </property>
</Properties>
</file>